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threadedComments/threadedComment1.xml" ContentType="application/vnd.ms-excel.threadedcomments+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10.xml" ContentType="application/vnd.openxmlformats-officedocument.spreadsheetml.comments+xml"/>
  <Override PartName="/xl/threadedComments/threadedComment2.xml" ContentType="application/vnd.ms-excel.threadedcomments+xml"/>
  <Override PartName="/xl/drawings/drawing16.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always" codeName="ThisWorkbook"/>
  <mc:AlternateContent xmlns:mc="http://schemas.openxmlformats.org/markup-compatibility/2006">
    <mc:Choice Requires="x15">
      <x15ac:absPath xmlns:x15ac="http://schemas.microsoft.com/office/spreadsheetml/2010/11/ac" url="C:\Users\contraloria3\Documents\"/>
    </mc:Choice>
  </mc:AlternateContent>
  <xr:revisionPtr revIDLastSave="0" documentId="8_{66439F5D-2BE1-4C9F-9D63-22F0DCD9E90C}" xr6:coauthVersionLast="47" xr6:coauthVersionMax="47" xr10:uidLastSave="{00000000-0000-0000-0000-000000000000}"/>
  <bookViews>
    <workbookView xWindow="-120" yWindow="-120" windowWidth="29040" windowHeight="15720" tabRatio="740" firstSheet="7" activeTab="11" xr2:uid="{00000000-000D-0000-FFFF-FFFF00000000}"/>
  </bookViews>
  <sheets>
    <sheet name="LISTAS" sheetId="6" state="hidden" r:id="rId1"/>
    <sheet name="FENECIMIENTO CUENTA" sheetId="23" state="hidden" r:id="rId2"/>
    <sheet name="LISTAS PPTO" sheetId="15" state="hidden" r:id="rId3"/>
    <sheet name="FENECIMIENTO" sheetId="24" r:id="rId4"/>
    <sheet name="ANALÍTICA ESTADO SITUACIÓN F" sheetId="7" r:id="rId5"/>
    <sheet name="ANALÍTICA ESTADO DE RESULTAD" sheetId="8" r:id="rId6"/>
    <sheet name="MATERIALIDAD FINANCIERA" sheetId="9" r:id="rId7"/>
    <sheet name="HALLAZGOS OPINIÓN_FIN" sheetId="12" r:id="rId8"/>
    <sheet name="HALLAZGOS OPINIÓN_FIN Otros" sheetId="27" r:id="rId9"/>
    <sheet name="DESEMPEÑO FINANCIERO" sheetId="13" r:id="rId10"/>
    <sheet name="ANALÍTICA PRESUPUESTAL" sheetId="19" r:id="rId11"/>
    <sheet name="MATERIALIDAD PRESUPUESTAL" sheetId="10" r:id="rId12"/>
    <sheet name="HALLAZGOS CONCEPTO_PRES" sheetId="14" r:id="rId13"/>
    <sheet name="PLANES Y PROYECTOS" sheetId="11" r:id="rId14"/>
    <sheet name="PLAN ESTRATÉGICO" sheetId="17" r:id="rId15"/>
    <sheet name="ANALÍTICAS GASTO PÚBLICO" sheetId="5" r:id="rId16"/>
    <sheet name="MATERIALIDAD GASTO PÚBLICO" sheetId="3" r:id="rId17"/>
    <sheet name="CALIFICACIÓN GASTO PÚBLICO" sheetId="26" r:id="rId18"/>
    <sheet name="Lista consolidado macro" sheetId="20" state="hidden" r:id="rId19"/>
  </sheets>
  <externalReferences>
    <externalReference r:id="rId20"/>
    <externalReference r:id="rId21"/>
    <externalReference r:id="rId22"/>
    <externalReference r:id="rId23"/>
    <externalReference r:id="rId24"/>
  </externalReferences>
  <definedNames>
    <definedName name="_ECONOMIA_CONTRATACION">'CALIFICACIÓN GASTO PÚBLICO'!$CZ$77</definedName>
    <definedName name="_EFICACIA_CONTRATACION">'CALIFICACIÓN GASTO PÚBLICO'!$CZ$76</definedName>
    <definedName name="_EFICIENCIA_CONTRATACION">'CALIFICACIÓN GASTO PÚBLICO'!$CZ$78</definedName>
    <definedName name="_xlnm._FilterDatabase" localSheetId="0" hidden="1">LISTAS!$Y$97:$Z$126</definedName>
    <definedName name="_xlnm._FilterDatabase" localSheetId="14" hidden="1">'PLAN ESTRATÉGICO'!$A$25:$ACR$25</definedName>
    <definedName name="_xlnm._FilterDatabase" localSheetId="13" hidden="1">'PLANES Y PROYECTOS'!$A$24:$AV$450</definedName>
    <definedName name="Base">'MATERIALIDAD GASTO PÚBLICO'!$I$2:$I$13</definedName>
    <definedName name="BaseSeleccionada" localSheetId="8">'MATERIALIDAD GASTO PÚBLICO'!#REF!</definedName>
    <definedName name="BaseSeleccionada">'MATERIALIDAD GASTO PÚBLICO'!#REF!</definedName>
    <definedName name="Calificacion_SCIC">LISTAS!$P$101:$S$106</definedName>
    <definedName name="entidades" localSheetId="8">#REF!</definedName>
    <definedName name="entidades">#REF!</definedName>
    <definedName name="ETAP" localSheetId="17">'[1]CALIFICACION GASTO PUBLICO'!$A$65518:$A$65524</definedName>
    <definedName name="HALLAZGOS" localSheetId="17">'CALIFICACIÓN GASTO PÚBLICO'!$F$102:$F$110</definedName>
    <definedName name="INSTRUCTIVO_CALIFICACIÓN_DEL_GASTO_PÚBLICO" localSheetId="8">#REF!</definedName>
    <definedName name="INSTRUCTIVO_CALIFICACIÓN_DEL_GASTO_PÚBLICO">#REF!</definedName>
    <definedName name="Moneda" localSheetId="3">#REF!</definedName>
    <definedName name="Moneda" localSheetId="8">#REF!</definedName>
    <definedName name="Moneda">#REF!</definedName>
    <definedName name="Montbase">'[2]3. MATERIALIDAD FINANCIERA'!$E$49</definedName>
    <definedName name="Muestra_Min">'MATERIALIDAD GASTO PÚBLICO'!$F$30</definedName>
    <definedName name="Parametro_Min">'MATERIALIDAD GASTO PÚBLICO'!$C$30</definedName>
    <definedName name="ParaminAlta">'MATERIALIDAD GASTO PÚBLICO'!$O$74</definedName>
    <definedName name="ParaminBaja">'MATERIALIDAD GASTO PÚBLICO'!$O$72</definedName>
    <definedName name="ParaminMedia">'MATERIALIDAD GASTO PÚBLICO'!$O$73</definedName>
    <definedName name="Principios" localSheetId="8">#REF!</definedName>
    <definedName name="Principios">#REF!</definedName>
    <definedName name="Riesgo">'MATERIALIDAD GASTO PÚBLICO'!$B$24</definedName>
    <definedName name="Riesgo_de_Control" localSheetId="3">#REF!</definedName>
    <definedName name="Riesgo_de_Control" localSheetId="8">#REF!</definedName>
    <definedName name="Riesgo_de_Control">#REF!</definedName>
    <definedName name="Situacionf">'[2]1. ANALÍTICA ESTADO SITUACIÓN F'!$B$124:$B$127</definedName>
    <definedName name="SUMA_MUESTRA" localSheetId="8">#REF!</definedName>
    <definedName name="SUMA_MUESTRA">#REF!</definedName>
    <definedName name="TablaProcesos52">[2]!TablaProcesos5[#Data]</definedName>
    <definedName name="ValorUniverso">'MATERIALIDAD GASTO PÚBLICO'!$D$19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17" l="1"/>
  <c r="L27" i="17"/>
  <c r="R25" i="11" l="1"/>
  <c r="R26" i="11"/>
  <c r="R27" i="11"/>
  <c r="R28" i="11"/>
  <c r="V21" i="11"/>
  <c r="O25" i="11" l="1"/>
  <c r="D30" i="14"/>
  <c r="D28" i="14"/>
  <c r="D26" i="14"/>
  <c r="D25" i="14"/>
  <c r="D24" i="14"/>
  <c r="D23" i="14"/>
  <c r="E85" i="10"/>
  <c r="D4" i="24"/>
  <c r="E5" i="27"/>
  <c r="B5" i="27"/>
  <c r="G19" i="24"/>
  <c r="G21" i="24"/>
  <c r="O14" i="11" l="1"/>
  <c r="O11" i="11"/>
  <c r="K25" i="11" l="1"/>
  <c r="T25" i="11"/>
  <c r="Q25" i="11"/>
  <c r="T26" i="11"/>
  <c r="T27" i="11"/>
  <c r="T28" i="11"/>
  <c r="R29" i="11"/>
  <c r="T29" i="11" s="1"/>
  <c r="R30" i="11"/>
  <c r="T30" i="11" s="1"/>
  <c r="R31" i="11"/>
  <c r="T31" i="11" s="1"/>
  <c r="R32" i="11"/>
  <c r="T32" i="11" s="1"/>
  <c r="R33" i="11"/>
  <c r="T33" i="11" s="1"/>
  <c r="R34" i="11"/>
  <c r="T34" i="11" s="1"/>
  <c r="R35" i="11"/>
  <c r="T35" i="11" s="1"/>
  <c r="R36" i="11"/>
  <c r="T36" i="11" s="1"/>
  <c r="R37" i="11"/>
  <c r="T37" i="11" s="1"/>
  <c r="R38" i="11"/>
  <c r="T38" i="11" s="1"/>
  <c r="R39" i="11"/>
  <c r="T39" i="11" s="1"/>
  <c r="R40" i="11"/>
  <c r="T40" i="11" s="1"/>
  <c r="R41" i="11"/>
  <c r="T41" i="11" s="1"/>
  <c r="R42" i="11"/>
  <c r="T42" i="11" s="1"/>
  <c r="R43" i="11"/>
  <c r="T43" i="11" s="1"/>
  <c r="R44" i="11"/>
  <c r="T44" i="11" s="1"/>
  <c r="R45" i="11"/>
  <c r="T45" i="11" s="1"/>
  <c r="R46" i="11"/>
  <c r="T46" i="11" s="1"/>
  <c r="R47" i="11"/>
  <c r="T47" i="11" s="1"/>
  <c r="R48" i="11"/>
  <c r="T48" i="11" s="1"/>
  <c r="R49" i="11"/>
  <c r="T49" i="11" s="1"/>
  <c r="R50" i="11"/>
  <c r="T50" i="11" s="1"/>
  <c r="R51" i="11"/>
  <c r="T51" i="11" s="1"/>
  <c r="R52" i="11"/>
  <c r="T52" i="11" s="1"/>
  <c r="R53" i="11"/>
  <c r="T53" i="11" s="1"/>
  <c r="R54" i="11"/>
  <c r="T54" i="11" s="1"/>
  <c r="R55" i="11"/>
  <c r="T55" i="11" s="1"/>
  <c r="R56" i="11"/>
  <c r="T56" i="11" s="1"/>
  <c r="R57" i="11"/>
  <c r="T57" i="11" s="1"/>
  <c r="R58" i="11"/>
  <c r="T58" i="11" s="1"/>
  <c r="R59" i="11"/>
  <c r="T59" i="11" s="1"/>
  <c r="R60" i="11"/>
  <c r="T60" i="11" s="1"/>
  <c r="R61" i="11"/>
  <c r="T61" i="11" s="1"/>
  <c r="R62" i="11"/>
  <c r="T62" i="11" s="1"/>
  <c r="R63" i="11"/>
  <c r="T63" i="11" s="1"/>
  <c r="R64" i="11"/>
  <c r="T64" i="11" s="1"/>
  <c r="R65" i="11"/>
  <c r="T65" i="11" s="1"/>
  <c r="R66" i="11"/>
  <c r="T66" i="11" s="1"/>
  <c r="R67" i="11"/>
  <c r="T67" i="11" s="1"/>
  <c r="R68" i="11"/>
  <c r="T68" i="11" s="1"/>
  <c r="R69" i="11"/>
  <c r="T69" i="11" s="1"/>
  <c r="R70" i="11"/>
  <c r="T70" i="11" s="1"/>
  <c r="R71" i="11"/>
  <c r="T71" i="11" s="1"/>
  <c r="R72" i="11"/>
  <c r="T72" i="11" s="1"/>
  <c r="R73" i="11"/>
  <c r="T73" i="11" s="1"/>
  <c r="R74" i="11"/>
  <c r="T74" i="11" s="1"/>
  <c r="R75" i="11"/>
  <c r="T75" i="11" s="1"/>
  <c r="R76" i="11"/>
  <c r="T76" i="11" s="1"/>
  <c r="R77" i="11"/>
  <c r="T77" i="11" s="1"/>
  <c r="R78" i="11"/>
  <c r="T78" i="11" s="1"/>
  <c r="R79" i="11"/>
  <c r="T79" i="11" s="1"/>
  <c r="R80" i="11"/>
  <c r="T80" i="11" s="1"/>
  <c r="R81" i="11"/>
  <c r="T81" i="11" s="1"/>
  <c r="R82" i="11"/>
  <c r="T82" i="11" s="1"/>
  <c r="R83" i="11"/>
  <c r="T83" i="11" s="1"/>
  <c r="R84" i="11"/>
  <c r="T84" i="11" s="1"/>
  <c r="R85" i="11"/>
  <c r="T85" i="11" s="1"/>
  <c r="R86" i="11"/>
  <c r="T86" i="11" s="1"/>
  <c r="R87" i="11"/>
  <c r="T87" i="11" s="1"/>
  <c r="R88" i="11"/>
  <c r="T88" i="11" s="1"/>
  <c r="R89" i="11"/>
  <c r="T89" i="11" s="1"/>
  <c r="R90" i="11"/>
  <c r="T90" i="11" s="1"/>
  <c r="R91" i="11"/>
  <c r="T91" i="11" s="1"/>
  <c r="R92" i="11"/>
  <c r="T92" i="11" s="1"/>
  <c r="R93" i="11"/>
  <c r="T93" i="11" s="1"/>
  <c r="R94" i="11"/>
  <c r="T94" i="11" s="1"/>
  <c r="R95" i="11"/>
  <c r="T95" i="11" s="1"/>
  <c r="R96" i="11"/>
  <c r="T96" i="11" s="1"/>
  <c r="R97" i="11"/>
  <c r="T97" i="11" s="1"/>
  <c r="R98" i="11"/>
  <c r="T98" i="11" s="1"/>
  <c r="R99" i="11"/>
  <c r="T99" i="11" s="1"/>
  <c r="R100" i="11"/>
  <c r="T100" i="11" s="1"/>
  <c r="R101" i="11"/>
  <c r="T101" i="11" s="1"/>
  <c r="R102" i="11"/>
  <c r="T102" i="11" s="1"/>
  <c r="R103" i="11"/>
  <c r="T103" i="11" s="1"/>
  <c r="R104" i="11"/>
  <c r="T104" i="11" s="1"/>
  <c r="R105" i="11"/>
  <c r="T105" i="11" s="1"/>
  <c r="R106" i="11"/>
  <c r="T106" i="11" s="1"/>
  <c r="R107" i="11"/>
  <c r="T107" i="11" s="1"/>
  <c r="R108" i="11"/>
  <c r="T108" i="11" s="1"/>
  <c r="R109" i="11"/>
  <c r="T109" i="11" s="1"/>
  <c r="R110" i="11"/>
  <c r="T110" i="11" s="1"/>
  <c r="R111" i="11"/>
  <c r="T111" i="11" s="1"/>
  <c r="R112" i="11"/>
  <c r="T112" i="11" s="1"/>
  <c r="R113" i="11"/>
  <c r="T113" i="11" s="1"/>
  <c r="R114" i="11"/>
  <c r="T114" i="11" s="1"/>
  <c r="R115" i="11"/>
  <c r="T115" i="11" s="1"/>
  <c r="R116" i="11"/>
  <c r="T116" i="11" s="1"/>
  <c r="R117" i="11"/>
  <c r="T117" i="11" s="1"/>
  <c r="R118" i="11"/>
  <c r="T118" i="11" s="1"/>
  <c r="R119" i="11"/>
  <c r="T119" i="11" s="1"/>
  <c r="R120" i="11"/>
  <c r="T120" i="11" s="1"/>
  <c r="R121" i="11"/>
  <c r="T121" i="11" s="1"/>
  <c r="R122" i="11"/>
  <c r="T122" i="11" s="1"/>
  <c r="R123" i="11"/>
  <c r="T123" i="11" s="1"/>
  <c r="R124" i="11"/>
  <c r="T124" i="11" s="1"/>
  <c r="R125" i="11"/>
  <c r="T125" i="11" s="1"/>
  <c r="R126" i="11"/>
  <c r="T126" i="11" s="1"/>
  <c r="R127" i="11"/>
  <c r="T127" i="11" s="1"/>
  <c r="R128" i="11"/>
  <c r="T128" i="11" s="1"/>
  <c r="R129" i="11"/>
  <c r="T129" i="11" s="1"/>
  <c r="R130" i="11"/>
  <c r="T130" i="11" s="1"/>
  <c r="R131" i="11"/>
  <c r="T131" i="11" s="1"/>
  <c r="R132" i="11"/>
  <c r="T132" i="11" s="1"/>
  <c r="R133" i="11"/>
  <c r="T133" i="11" s="1"/>
  <c r="R134" i="11"/>
  <c r="T134" i="11" s="1"/>
  <c r="R135" i="11"/>
  <c r="T135" i="11" s="1"/>
  <c r="R136" i="11"/>
  <c r="T136" i="11" s="1"/>
  <c r="R137" i="11"/>
  <c r="T137" i="11" s="1"/>
  <c r="R138" i="11"/>
  <c r="T138" i="11" s="1"/>
  <c r="R139" i="11"/>
  <c r="T139" i="11" s="1"/>
  <c r="R140" i="11"/>
  <c r="T140" i="11" s="1"/>
  <c r="R141" i="11"/>
  <c r="T141" i="11" s="1"/>
  <c r="R142" i="11"/>
  <c r="T142" i="11" s="1"/>
  <c r="R143" i="11"/>
  <c r="T143" i="11" s="1"/>
  <c r="R144" i="11"/>
  <c r="T144" i="11" s="1"/>
  <c r="R145" i="11"/>
  <c r="T145" i="11" s="1"/>
  <c r="R146" i="11"/>
  <c r="T146" i="11" s="1"/>
  <c r="R147" i="11"/>
  <c r="T147" i="11" s="1"/>
  <c r="R148" i="11"/>
  <c r="T148" i="11" s="1"/>
  <c r="R149" i="11"/>
  <c r="T149" i="11" s="1"/>
  <c r="R150" i="11"/>
  <c r="T150" i="11" s="1"/>
  <c r="R151" i="11"/>
  <c r="T151" i="11" s="1"/>
  <c r="R152" i="11"/>
  <c r="T152" i="11" s="1"/>
  <c r="R153" i="11"/>
  <c r="T153" i="11" s="1"/>
  <c r="R154" i="11"/>
  <c r="T154" i="11" s="1"/>
  <c r="R155" i="11"/>
  <c r="T155" i="11" s="1"/>
  <c r="R156" i="11"/>
  <c r="T156" i="11" s="1"/>
  <c r="R157" i="11"/>
  <c r="T157" i="11" s="1"/>
  <c r="R158" i="11"/>
  <c r="T158" i="11" s="1"/>
  <c r="R159" i="11"/>
  <c r="T159" i="11" s="1"/>
  <c r="R160" i="11"/>
  <c r="T160" i="11" s="1"/>
  <c r="R161" i="11"/>
  <c r="T161" i="11" s="1"/>
  <c r="R162" i="11"/>
  <c r="T162" i="11" s="1"/>
  <c r="R163" i="11"/>
  <c r="T163" i="11" s="1"/>
  <c r="R164" i="11"/>
  <c r="T164" i="11" s="1"/>
  <c r="R165" i="11"/>
  <c r="T165" i="11" s="1"/>
  <c r="R166" i="11"/>
  <c r="T166" i="11" s="1"/>
  <c r="R167" i="11"/>
  <c r="T167" i="11" s="1"/>
  <c r="R168" i="11"/>
  <c r="T168" i="11" s="1"/>
  <c r="R169" i="11"/>
  <c r="T169" i="11" s="1"/>
  <c r="R170" i="11"/>
  <c r="T170" i="11" s="1"/>
  <c r="R171" i="11"/>
  <c r="T171" i="11" s="1"/>
  <c r="R172" i="11"/>
  <c r="T172" i="11" s="1"/>
  <c r="R173" i="11"/>
  <c r="T173" i="11" s="1"/>
  <c r="R174" i="11"/>
  <c r="T174" i="11" s="1"/>
  <c r="R175" i="11"/>
  <c r="T175" i="11" s="1"/>
  <c r="R176" i="11"/>
  <c r="T176" i="11" s="1"/>
  <c r="R177" i="11"/>
  <c r="T177" i="11" s="1"/>
  <c r="R178" i="11"/>
  <c r="T178" i="11" s="1"/>
  <c r="R179" i="11"/>
  <c r="T179" i="11" s="1"/>
  <c r="R180" i="11"/>
  <c r="T180" i="11" s="1"/>
  <c r="R181" i="11"/>
  <c r="T181" i="11" s="1"/>
  <c r="R182" i="11"/>
  <c r="T182" i="11" s="1"/>
  <c r="R183" i="11"/>
  <c r="T183" i="11" s="1"/>
  <c r="R184" i="11"/>
  <c r="T184" i="11" s="1"/>
  <c r="R185" i="11"/>
  <c r="T185" i="11" s="1"/>
  <c r="R186" i="11"/>
  <c r="T186" i="11" s="1"/>
  <c r="R187" i="11"/>
  <c r="T187" i="11" s="1"/>
  <c r="R188" i="11"/>
  <c r="T188" i="11" s="1"/>
  <c r="R189" i="11"/>
  <c r="T189" i="11" s="1"/>
  <c r="R190" i="11"/>
  <c r="T190" i="11" s="1"/>
  <c r="R191" i="11"/>
  <c r="T191" i="11" s="1"/>
  <c r="R192" i="11"/>
  <c r="T192" i="11" s="1"/>
  <c r="R193" i="11"/>
  <c r="T193" i="11" s="1"/>
  <c r="R194" i="11"/>
  <c r="T194" i="11" s="1"/>
  <c r="R195" i="11"/>
  <c r="T195" i="11" s="1"/>
  <c r="R196" i="11"/>
  <c r="T196" i="11" s="1"/>
  <c r="R197" i="11"/>
  <c r="T197" i="11" s="1"/>
  <c r="R198" i="11"/>
  <c r="T198" i="11" s="1"/>
  <c r="R199" i="11"/>
  <c r="T199" i="11" s="1"/>
  <c r="R200" i="11"/>
  <c r="T200" i="11" s="1"/>
  <c r="R201" i="11"/>
  <c r="T201" i="11" s="1"/>
  <c r="R202" i="11"/>
  <c r="T202" i="11" s="1"/>
  <c r="R203" i="11"/>
  <c r="T203" i="11" s="1"/>
  <c r="R204" i="11"/>
  <c r="T204" i="11" s="1"/>
  <c r="R205" i="11"/>
  <c r="T205" i="11" s="1"/>
  <c r="R206" i="11"/>
  <c r="T206" i="11" s="1"/>
  <c r="R207" i="11"/>
  <c r="T207" i="11" s="1"/>
  <c r="R208" i="11"/>
  <c r="T208" i="11" s="1"/>
  <c r="R209" i="11"/>
  <c r="T209" i="11" s="1"/>
  <c r="R210" i="11"/>
  <c r="T210" i="11" s="1"/>
  <c r="R211" i="11"/>
  <c r="T211" i="11" s="1"/>
  <c r="R212" i="11"/>
  <c r="T212" i="11" s="1"/>
  <c r="R213" i="11"/>
  <c r="T213" i="11" s="1"/>
  <c r="R214" i="11"/>
  <c r="T214" i="11" s="1"/>
  <c r="R215" i="11"/>
  <c r="T215" i="11" s="1"/>
  <c r="R216" i="11"/>
  <c r="T216" i="11" s="1"/>
  <c r="R217" i="11"/>
  <c r="T217" i="11" s="1"/>
  <c r="R218" i="11"/>
  <c r="T218" i="11" s="1"/>
  <c r="R219" i="11"/>
  <c r="T219" i="11" s="1"/>
  <c r="R220" i="11"/>
  <c r="T220" i="11" s="1"/>
  <c r="R221" i="11"/>
  <c r="T221" i="11" s="1"/>
  <c r="R222" i="11"/>
  <c r="T222" i="11" s="1"/>
  <c r="R223" i="11"/>
  <c r="T223" i="11" s="1"/>
  <c r="R224" i="11"/>
  <c r="T224" i="11" s="1"/>
  <c r="R225" i="11"/>
  <c r="T225" i="11" s="1"/>
  <c r="R226" i="11"/>
  <c r="T226" i="11" s="1"/>
  <c r="R227" i="11"/>
  <c r="T227" i="11" s="1"/>
  <c r="R228" i="11"/>
  <c r="T228" i="11" s="1"/>
  <c r="R229" i="11"/>
  <c r="T229" i="11" s="1"/>
  <c r="R230" i="11"/>
  <c r="T230" i="11" s="1"/>
  <c r="R231" i="11"/>
  <c r="T231" i="11" s="1"/>
  <c r="R232" i="11"/>
  <c r="T232" i="11" s="1"/>
  <c r="R233" i="11"/>
  <c r="T233" i="11" s="1"/>
  <c r="R234" i="11"/>
  <c r="T234" i="11" s="1"/>
  <c r="R235" i="11"/>
  <c r="T235" i="11" s="1"/>
  <c r="R236" i="11"/>
  <c r="T236" i="11" s="1"/>
  <c r="R237" i="11"/>
  <c r="T237" i="11" s="1"/>
  <c r="R238" i="11"/>
  <c r="T238" i="11" s="1"/>
  <c r="R239" i="11"/>
  <c r="T239" i="11" s="1"/>
  <c r="R240" i="11"/>
  <c r="T240" i="11" s="1"/>
  <c r="R241" i="11"/>
  <c r="T241" i="11" s="1"/>
  <c r="R242" i="11"/>
  <c r="T242" i="11" s="1"/>
  <c r="R243" i="11"/>
  <c r="T243" i="11" s="1"/>
  <c r="R244" i="11"/>
  <c r="T244" i="11" s="1"/>
  <c r="R245" i="11"/>
  <c r="T245" i="11" s="1"/>
  <c r="R246" i="11"/>
  <c r="T246" i="11" s="1"/>
  <c r="R247" i="11"/>
  <c r="T247" i="11" s="1"/>
  <c r="R248" i="11"/>
  <c r="T248" i="11" s="1"/>
  <c r="R249" i="11"/>
  <c r="T249" i="11" s="1"/>
  <c r="R250" i="11"/>
  <c r="T250" i="11" s="1"/>
  <c r="R251" i="11"/>
  <c r="T251" i="11" s="1"/>
  <c r="R252" i="11"/>
  <c r="T252" i="11" s="1"/>
  <c r="R253" i="11"/>
  <c r="T253" i="11" s="1"/>
  <c r="R254" i="11"/>
  <c r="T254" i="11" s="1"/>
  <c r="R255" i="11"/>
  <c r="T255" i="11" s="1"/>
  <c r="R256" i="11"/>
  <c r="T256" i="11" s="1"/>
  <c r="R257" i="11"/>
  <c r="T257" i="11" s="1"/>
  <c r="R258" i="11"/>
  <c r="T258" i="11" s="1"/>
  <c r="R259" i="11"/>
  <c r="T259" i="11" s="1"/>
  <c r="R260" i="11"/>
  <c r="T260" i="11" s="1"/>
  <c r="R261" i="11"/>
  <c r="T261" i="11" s="1"/>
  <c r="R262" i="11"/>
  <c r="T262" i="11" s="1"/>
  <c r="R263" i="11"/>
  <c r="T263" i="11" s="1"/>
  <c r="R264" i="11"/>
  <c r="T264" i="11" s="1"/>
  <c r="R265" i="11"/>
  <c r="T265" i="11" s="1"/>
  <c r="R266" i="11"/>
  <c r="T266" i="11" s="1"/>
  <c r="R267" i="11"/>
  <c r="T267" i="11" s="1"/>
  <c r="R268" i="11"/>
  <c r="T268" i="11" s="1"/>
  <c r="R269" i="11"/>
  <c r="T269" i="11" s="1"/>
  <c r="R270" i="11"/>
  <c r="T270" i="11" s="1"/>
  <c r="R271" i="11"/>
  <c r="T271" i="11" s="1"/>
  <c r="R272" i="11"/>
  <c r="T272" i="11" s="1"/>
  <c r="R273" i="11"/>
  <c r="T273" i="11" s="1"/>
  <c r="R274" i="11"/>
  <c r="T274" i="11" s="1"/>
  <c r="R275" i="11"/>
  <c r="T275" i="11" s="1"/>
  <c r="R276" i="11"/>
  <c r="T276" i="11" s="1"/>
  <c r="R277" i="11"/>
  <c r="T277" i="11" s="1"/>
  <c r="R278" i="11"/>
  <c r="T278" i="11" s="1"/>
  <c r="R279" i="11"/>
  <c r="T279" i="11" s="1"/>
  <c r="R280" i="11"/>
  <c r="T280" i="11" s="1"/>
  <c r="R281" i="11"/>
  <c r="T281" i="11" s="1"/>
  <c r="R282" i="11"/>
  <c r="T282" i="11" s="1"/>
  <c r="R283" i="11"/>
  <c r="T283" i="11" s="1"/>
  <c r="R284" i="11"/>
  <c r="T284" i="11" s="1"/>
  <c r="R285" i="11"/>
  <c r="T285" i="11" s="1"/>
  <c r="R286" i="11"/>
  <c r="T286" i="11" s="1"/>
  <c r="R287" i="11"/>
  <c r="T287" i="11" s="1"/>
  <c r="R288" i="11"/>
  <c r="T288" i="11" s="1"/>
  <c r="R289" i="11"/>
  <c r="T289" i="11" s="1"/>
  <c r="R290" i="11"/>
  <c r="T290" i="11" s="1"/>
  <c r="R291" i="11"/>
  <c r="T291" i="11" s="1"/>
  <c r="R292" i="11"/>
  <c r="T292" i="11" s="1"/>
  <c r="R293" i="11"/>
  <c r="T293" i="11" s="1"/>
  <c r="R294" i="11"/>
  <c r="T294" i="11" s="1"/>
  <c r="R295" i="11"/>
  <c r="T295" i="11" s="1"/>
  <c r="R296" i="11"/>
  <c r="T296" i="11" s="1"/>
  <c r="R297" i="11"/>
  <c r="T297" i="11" s="1"/>
  <c r="R298" i="11"/>
  <c r="T298" i="11" s="1"/>
  <c r="R299" i="11"/>
  <c r="T299" i="11" s="1"/>
  <c r="R300" i="11"/>
  <c r="T300" i="11" s="1"/>
  <c r="R301" i="11"/>
  <c r="T301" i="11" s="1"/>
  <c r="R302" i="11"/>
  <c r="T302" i="11" s="1"/>
  <c r="R303" i="11"/>
  <c r="T303" i="11" s="1"/>
  <c r="R304" i="11"/>
  <c r="T304" i="11" s="1"/>
  <c r="R305" i="11"/>
  <c r="T305" i="11" s="1"/>
  <c r="R306" i="11"/>
  <c r="T306" i="11" s="1"/>
  <c r="R307" i="11"/>
  <c r="T307" i="11" s="1"/>
  <c r="R308" i="11"/>
  <c r="T308" i="11" s="1"/>
  <c r="R309" i="11"/>
  <c r="T309" i="11" s="1"/>
  <c r="R310" i="11"/>
  <c r="T310" i="11" s="1"/>
  <c r="R311" i="11"/>
  <c r="T311" i="11" s="1"/>
  <c r="R312" i="11"/>
  <c r="T312" i="11" s="1"/>
  <c r="R313" i="11"/>
  <c r="T313" i="11" s="1"/>
  <c r="R314" i="11"/>
  <c r="T314" i="11" s="1"/>
  <c r="R315" i="11"/>
  <c r="T315" i="11" s="1"/>
  <c r="R316" i="11"/>
  <c r="T316" i="11" s="1"/>
  <c r="R317" i="11"/>
  <c r="T317" i="11" s="1"/>
  <c r="R318" i="11"/>
  <c r="T318" i="11" s="1"/>
  <c r="R319" i="11"/>
  <c r="T319" i="11" s="1"/>
  <c r="R320" i="11"/>
  <c r="T320" i="11" s="1"/>
  <c r="R321" i="11"/>
  <c r="T321" i="11" s="1"/>
  <c r="R322" i="11"/>
  <c r="T322" i="11" s="1"/>
  <c r="R323" i="11"/>
  <c r="T323" i="11" s="1"/>
  <c r="R324" i="11"/>
  <c r="T324" i="11" s="1"/>
  <c r="R325" i="11"/>
  <c r="T325" i="11" s="1"/>
  <c r="R326" i="11"/>
  <c r="T326" i="11" s="1"/>
  <c r="R327" i="11"/>
  <c r="T327" i="11" s="1"/>
  <c r="R328" i="11"/>
  <c r="T328" i="11" s="1"/>
  <c r="R329" i="11"/>
  <c r="T329" i="11" s="1"/>
  <c r="R330" i="11"/>
  <c r="T330" i="11" s="1"/>
  <c r="R331" i="11"/>
  <c r="T331" i="11" s="1"/>
  <c r="R332" i="11"/>
  <c r="T332" i="11" s="1"/>
  <c r="R333" i="11"/>
  <c r="T333" i="11" s="1"/>
  <c r="R334" i="11"/>
  <c r="T334" i="11" s="1"/>
  <c r="R335" i="11"/>
  <c r="T335" i="11" s="1"/>
  <c r="R336" i="11"/>
  <c r="T336" i="11" s="1"/>
  <c r="R337" i="11"/>
  <c r="T337" i="11" s="1"/>
  <c r="R338" i="11"/>
  <c r="T338" i="11" s="1"/>
  <c r="R339" i="11"/>
  <c r="T339" i="11" s="1"/>
  <c r="R340" i="11"/>
  <c r="T340" i="11" s="1"/>
  <c r="R341" i="11"/>
  <c r="T341" i="11" s="1"/>
  <c r="R342" i="11"/>
  <c r="T342" i="11" s="1"/>
  <c r="R343" i="11"/>
  <c r="T343" i="11" s="1"/>
  <c r="R344" i="11"/>
  <c r="T344" i="11" s="1"/>
  <c r="R345" i="11"/>
  <c r="T345" i="11" s="1"/>
  <c r="R346" i="11"/>
  <c r="T346" i="11" s="1"/>
  <c r="R347" i="11"/>
  <c r="T347" i="11" s="1"/>
  <c r="R348" i="11"/>
  <c r="T348" i="11" s="1"/>
  <c r="R349" i="11"/>
  <c r="T349" i="11" s="1"/>
  <c r="R350" i="11"/>
  <c r="T350" i="11" s="1"/>
  <c r="R351" i="11"/>
  <c r="T351" i="11" s="1"/>
  <c r="R352" i="11"/>
  <c r="T352" i="11" s="1"/>
  <c r="R353" i="11"/>
  <c r="T353" i="11" s="1"/>
  <c r="R354" i="11"/>
  <c r="T354" i="11" s="1"/>
  <c r="R355" i="11"/>
  <c r="T355" i="11" s="1"/>
  <c r="R356" i="11"/>
  <c r="T356" i="11" s="1"/>
  <c r="R357" i="11"/>
  <c r="T357" i="11" s="1"/>
  <c r="R358" i="11"/>
  <c r="T358" i="11" s="1"/>
  <c r="R359" i="11"/>
  <c r="T359" i="11" s="1"/>
  <c r="R360" i="11"/>
  <c r="T360" i="11" s="1"/>
  <c r="R361" i="11"/>
  <c r="T361" i="11" s="1"/>
  <c r="R362" i="11"/>
  <c r="T362" i="11" s="1"/>
  <c r="R363" i="11"/>
  <c r="T363" i="11" s="1"/>
  <c r="R364" i="11"/>
  <c r="T364" i="11" s="1"/>
  <c r="R365" i="11"/>
  <c r="T365" i="11" s="1"/>
  <c r="R366" i="11"/>
  <c r="T366" i="11" s="1"/>
  <c r="R367" i="11"/>
  <c r="T367" i="11" s="1"/>
  <c r="R368" i="11"/>
  <c r="T368" i="11" s="1"/>
  <c r="R369" i="11"/>
  <c r="T369" i="11" s="1"/>
  <c r="R370" i="11"/>
  <c r="T370" i="11" s="1"/>
  <c r="R371" i="11"/>
  <c r="T371" i="11" s="1"/>
  <c r="R372" i="11"/>
  <c r="T372" i="11" s="1"/>
  <c r="R373" i="11"/>
  <c r="T373" i="11" s="1"/>
  <c r="R374" i="11"/>
  <c r="T374" i="11" s="1"/>
  <c r="R375" i="11"/>
  <c r="T375" i="11" s="1"/>
  <c r="R376" i="11"/>
  <c r="T376" i="11" s="1"/>
  <c r="R377" i="11"/>
  <c r="T377" i="11" s="1"/>
  <c r="R378" i="11"/>
  <c r="T378" i="11" s="1"/>
  <c r="R379" i="11"/>
  <c r="T379" i="11" s="1"/>
  <c r="R380" i="11"/>
  <c r="T380" i="11" s="1"/>
  <c r="R381" i="11"/>
  <c r="T381" i="11" s="1"/>
  <c r="R382" i="11"/>
  <c r="T382" i="11" s="1"/>
  <c r="R383" i="11"/>
  <c r="T383" i="11" s="1"/>
  <c r="R384" i="11"/>
  <c r="T384" i="11" s="1"/>
  <c r="R385" i="11"/>
  <c r="T385" i="11" s="1"/>
  <c r="R386" i="11"/>
  <c r="T386" i="11" s="1"/>
  <c r="R387" i="11"/>
  <c r="T387" i="11" s="1"/>
  <c r="R388" i="11"/>
  <c r="T388" i="11" s="1"/>
  <c r="R389" i="11"/>
  <c r="T389" i="11" s="1"/>
  <c r="R390" i="11"/>
  <c r="T390" i="11" s="1"/>
  <c r="R391" i="11"/>
  <c r="T391" i="11" s="1"/>
  <c r="R392" i="11"/>
  <c r="T392" i="11" s="1"/>
  <c r="R393" i="11"/>
  <c r="T393" i="11" s="1"/>
  <c r="R394" i="11"/>
  <c r="T394" i="11" s="1"/>
  <c r="R395" i="11"/>
  <c r="T395" i="11" s="1"/>
  <c r="R396" i="11"/>
  <c r="T396" i="11" s="1"/>
  <c r="R397" i="11"/>
  <c r="T397" i="11" s="1"/>
  <c r="R398" i="11"/>
  <c r="T398" i="11" s="1"/>
  <c r="R399" i="11"/>
  <c r="T399" i="11" s="1"/>
  <c r="R400" i="11"/>
  <c r="T400" i="11" s="1"/>
  <c r="R401" i="11"/>
  <c r="T401" i="11" s="1"/>
  <c r="R402" i="11"/>
  <c r="T402" i="11" s="1"/>
  <c r="R403" i="11"/>
  <c r="T403" i="11" s="1"/>
  <c r="R404" i="11"/>
  <c r="T404" i="11" s="1"/>
  <c r="R405" i="11"/>
  <c r="T405" i="11" s="1"/>
  <c r="R406" i="11"/>
  <c r="T406" i="11" s="1"/>
  <c r="R407" i="11"/>
  <c r="T407" i="11" s="1"/>
  <c r="R408" i="11"/>
  <c r="T408" i="11" s="1"/>
  <c r="R409" i="11"/>
  <c r="T409" i="11" s="1"/>
  <c r="R410" i="11"/>
  <c r="T410" i="11" s="1"/>
  <c r="R411" i="11"/>
  <c r="T411" i="11" s="1"/>
  <c r="R412" i="11"/>
  <c r="T412" i="11" s="1"/>
  <c r="R413" i="11"/>
  <c r="T413" i="11" s="1"/>
  <c r="R414" i="11"/>
  <c r="T414" i="11" s="1"/>
  <c r="R415" i="11"/>
  <c r="T415" i="11" s="1"/>
  <c r="R416" i="11"/>
  <c r="T416" i="11" s="1"/>
  <c r="R417" i="11"/>
  <c r="T417" i="11" s="1"/>
  <c r="R418" i="11"/>
  <c r="T418" i="11" s="1"/>
  <c r="R419" i="11"/>
  <c r="T419" i="11" s="1"/>
  <c r="R420" i="11"/>
  <c r="T420" i="11" s="1"/>
  <c r="R421" i="11"/>
  <c r="T421" i="11" s="1"/>
  <c r="R422" i="11"/>
  <c r="T422" i="11" s="1"/>
  <c r="R423" i="11"/>
  <c r="T423" i="11" s="1"/>
  <c r="R424" i="11"/>
  <c r="T424" i="11" s="1"/>
  <c r="R425" i="11"/>
  <c r="T425" i="11" s="1"/>
  <c r="R426" i="11"/>
  <c r="T426" i="11" s="1"/>
  <c r="R427" i="11"/>
  <c r="T427" i="11" s="1"/>
  <c r="R428" i="11"/>
  <c r="T428" i="11" s="1"/>
  <c r="R429" i="11"/>
  <c r="T429" i="11" s="1"/>
  <c r="R430" i="11"/>
  <c r="T430" i="11" s="1"/>
  <c r="R431" i="11"/>
  <c r="T431" i="11" s="1"/>
  <c r="R432" i="11"/>
  <c r="T432" i="11" s="1"/>
  <c r="R433" i="11"/>
  <c r="T433" i="11" s="1"/>
  <c r="R434" i="11"/>
  <c r="T434" i="11" s="1"/>
  <c r="R435" i="11"/>
  <c r="T435" i="11" s="1"/>
  <c r="R436" i="11"/>
  <c r="T436" i="11" s="1"/>
  <c r="R437" i="11"/>
  <c r="T437" i="11" s="1"/>
  <c r="R438" i="11"/>
  <c r="T438" i="11" s="1"/>
  <c r="R439" i="11"/>
  <c r="T439" i="11" s="1"/>
  <c r="R440" i="11"/>
  <c r="T440" i="11" s="1"/>
  <c r="R441" i="11"/>
  <c r="T441" i="11" s="1"/>
  <c r="R442" i="11"/>
  <c r="T442" i="11" s="1"/>
  <c r="R443" i="11"/>
  <c r="T443" i="11" s="1"/>
  <c r="R444" i="11"/>
  <c r="T444" i="11" s="1"/>
  <c r="R445" i="11"/>
  <c r="T445" i="11" s="1"/>
  <c r="R446" i="11"/>
  <c r="T446" i="11" s="1"/>
  <c r="R447" i="11"/>
  <c r="T447" i="11" s="1"/>
  <c r="R448" i="11"/>
  <c r="T448" i="11" s="1"/>
  <c r="R449" i="11"/>
  <c r="T449" i="11" s="1"/>
  <c r="R450" i="11"/>
  <c r="T450" i="11" s="1"/>
  <c r="O26" i="11"/>
  <c r="Q26" i="11" s="1"/>
  <c r="O34" i="11"/>
  <c r="Q34" i="11" s="1"/>
  <c r="O35" i="11"/>
  <c r="Q35" i="11" s="1"/>
  <c r="O36" i="11"/>
  <c r="Q36" i="11" s="1"/>
  <c r="O37" i="11"/>
  <c r="Q37" i="11" s="1"/>
  <c r="O38" i="11"/>
  <c r="Q38" i="11" s="1"/>
  <c r="O39" i="11"/>
  <c r="Q39" i="11" s="1"/>
  <c r="O40" i="11"/>
  <c r="Q40" i="11" s="1"/>
  <c r="O41" i="11"/>
  <c r="Q41" i="11" s="1"/>
  <c r="O42" i="11"/>
  <c r="Q42" i="11" s="1"/>
  <c r="O43" i="11"/>
  <c r="Q43" i="11" s="1"/>
  <c r="O44" i="11"/>
  <c r="Q44" i="11" s="1"/>
  <c r="O45" i="11"/>
  <c r="Q45" i="11" s="1"/>
  <c r="O46" i="11"/>
  <c r="Q46" i="11" s="1"/>
  <c r="O47" i="11"/>
  <c r="Q47" i="11" s="1"/>
  <c r="O48" i="11"/>
  <c r="Q48" i="11" s="1"/>
  <c r="O49" i="11"/>
  <c r="Q49" i="11" s="1"/>
  <c r="O50" i="11"/>
  <c r="Q50" i="11" s="1"/>
  <c r="O51" i="11"/>
  <c r="Q51" i="11" s="1"/>
  <c r="O52" i="11"/>
  <c r="Q52" i="11" s="1"/>
  <c r="O53" i="11"/>
  <c r="Q53" i="11" s="1"/>
  <c r="O54" i="11"/>
  <c r="Q54" i="11" s="1"/>
  <c r="O55" i="11"/>
  <c r="Q55" i="11" s="1"/>
  <c r="O56" i="11"/>
  <c r="Q56" i="11" s="1"/>
  <c r="O57" i="11"/>
  <c r="Q57" i="11" s="1"/>
  <c r="O58" i="11"/>
  <c r="Q58" i="11" s="1"/>
  <c r="O59" i="11"/>
  <c r="Q59" i="11" s="1"/>
  <c r="O60" i="11"/>
  <c r="Q60" i="11" s="1"/>
  <c r="O61" i="11"/>
  <c r="Q61" i="11" s="1"/>
  <c r="O62" i="11"/>
  <c r="Q62" i="11" s="1"/>
  <c r="O63" i="11"/>
  <c r="Q63" i="11" s="1"/>
  <c r="O64" i="11"/>
  <c r="Q64" i="11" s="1"/>
  <c r="O65" i="11"/>
  <c r="Q65" i="11" s="1"/>
  <c r="O66" i="11"/>
  <c r="Q66" i="11" s="1"/>
  <c r="O67" i="11"/>
  <c r="Q67" i="11" s="1"/>
  <c r="O68" i="11"/>
  <c r="Q68" i="11" s="1"/>
  <c r="O69" i="11"/>
  <c r="Q69" i="11" s="1"/>
  <c r="O70" i="11"/>
  <c r="Q70" i="11" s="1"/>
  <c r="O71" i="11"/>
  <c r="Q71" i="11" s="1"/>
  <c r="O72" i="11"/>
  <c r="Q72" i="11" s="1"/>
  <c r="O73" i="11"/>
  <c r="Q73" i="11" s="1"/>
  <c r="O74" i="11"/>
  <c r="Q74" i="11" s="1"/>
  <c r="O75" i="11"/>
  <c r="Q75" i="11" s="1"/>
  <c r="O76" i="11"/>
  <c r="Q76" i="11" s="1"/>
  <c r="O77" i="11"/>
  <c r="Q77" i="11" s="1"/>
  <c r="O78" i="11"/>
  <c r="Q78" i="11" s="1"/>
  <c r="O79" i="11"/>
  <c r="Q79" i="11" s="1"/>
  <c r="O80" i="11"/>
  <c r="Q80" i="11" s="1"/>
  <c r="O81" i="11"/>
  <c r="Q81" i="11" s="1"/>
  <c r="O82" i="11"/>
  <c r="Q82" i="11" s="1"/>
  <c r="O83" i="11"/>
  <c r="Q83" i="11" s="1"/>
  <c r="O84" i="11"/>
  <c r="Q84" i="11" s="1"/>
  <c r="O85" i="11"/>
  <c r="Q85" i="11" s="1"/>
  <c r="O86" i="11"/>
  <c r="Q86" i="11" s="1"/>
  <c r="O87" i="11"/>
  <c r="Q87" i="11" s="1"/>
  <c r="O88" i="11"/>
  <c r="Q88" i="11" s="1"/>
  <c r="O89" i="11"/>
  <c r="Q89" i="11" s="1"/>
  <c r="O90" i="11"/>
  <c r="Q90" i="11" s="1"/>
  <c r="O91" i="11"/>
  <c r="Q91" i="11" s="1"/>
  <c r="O92" i="11"/>
  <c r="Q92" i="11" s="1"/>
  <c r="O93" i="11"/>
  <c r="Q93" i="11" s="1"/>
  <c r="O94" i="11"/>
  <c r="Q94" i="11" s="1"/>
  <c r="O95" i="11"/>
  <c r="Q95" i="11" s="1"/>
  <c r="O96" i="11"/>
  <c r="Q96" i="11" s="1"/>
  <c r="O97" i="11"/>
  <c r="Q97" i="11" s="1"/>
  <c r="O98" i="11"/>
  <c r="Q98" i="11" s="1"/>
  <c r="O99" i="11"/>
  <c r="Q99" i="11" s="1"/>
  <c r="O100" i="11"/>
  <c r="Q100" i="11" s="1"/>
  <c r="O101" i="11"/>
  <c r="Q101" i="11" s="1"/>
  <c r="O102" i="11"/>
  <c r="Q102" i="11" s="1"/>
  <c r="O103" i="11"/>
  <c r="Q103" i="11" s="1"/>
  <c r="O104" i="11"/>
  <c r="Q104" i="11" s="1"/>
  <c r="O105" i="11"/>
  <c r="Q105" i="11" s="1"/>
  <c r="O106" i="11"/>
  <c r="Q106" i="11" s="1"/>
  <c r="O107" i="11"/>
  <c r="Q107" i="11" s="1"/>
  <c r="O108" i="11"/>
  <c r="Q108" i="11" s="1"/>
  <c r="O109" i="11"/>
  <c r="Q109" i="11" s="1"/>
  <c r="O110" i="11"/>
  <c r="Q110" i="11" s="1"/>
  <c r="O111" i="11"/>
  <c r="Q111" i="11" s="1"/>
  <c r="O112" i="11"/>
  <c r="Q112" i="11" s="1"/>
  <c r="O113" i="11"/>
  <c r="Q113" i="11" s="1"/>
  <c r="O114" i="11"/>
  <c r="Q114" i="11" s="1"/>
  <c r="O115" i="11"/>
  <c r="Q115" i="11" s="1"/>
  <c r="O116" i="11"/>
  <c r="Q116" i="11" s="1"/>
  <c r="O117" i="11"/>
  <c r="Q117" i="11" s="1"/>
  <c r="O118" i="11"/>
  <c r="Q118" i="11" s="1"/>
  <c r="O119" i="11"/>
  <c r="Q119" i="11" s="1"/>
  <c r="O120" i="11"/>
  <c r="Q120" i="11" s="1"/>
  <c r="O121" i="11"/>
  <c r="Q121" i="11" s="1"/>
  <c r="O122" i="11"/>
  <c r="Q122" i="11" s="1"/>
  <c r="O123" i="11"/>
  <c r="Q123" i="11" s="1"/>
  <c r="O124" i="11"/>
  <c r="Q124" i="11" s="1"/>
  <c r="O125" i="11"/>
  <c r="Q125" i="11" s="1"/>
  <c r="O126" i="11"/>
  <c r="Q126" i="11" s="1"/>
  <c r="O127" i="11"/>
  <c r="Q127" i="11" s="1"/>
  <c r="O128" i="11"/>
  <c r="Q128" i="11" s="1"/>
  <c r="O129" i="11"/>
  <c r="Q129" i="11" s="1"/>
  <c r="O130" i="11"/>
  <c r="Q130" i="11" s="1"/>
  <c r="O131" i="11"/>
  <c r="Q131" i="11" s="1"/>
  <c r="O132" i="11"/>
  <c r="Q132" i="11" s="1"/>
  <c r="O133" i="11"/>
  <c r="Q133" i="11" s="1"/>
  <c r="O134" i="11"/>
  <c r="Q134" i="11" s="1"/>
  <c r="O135" i="11"/>
  <c r="Q135" i="11" s="1"/>
  <c r="O136" i="11"/>
  <c r="Q136" i="11" s="1"/>
  <c r="O137" i="11"/>
  <c r="Q137" i="11" s="1"/>
  <c r="O138" i="11"/>
  <c r="Q138" i="11" s="1"/>
  <c r="O139" i="11"/>
  <c r="Q139" i="11" s="1"/>
  <c r="O140" i="11"/>
  <c r="Q140" i="11" s="1"/>
  <c r="O141" i="11"/>
  <c r="Q141" i="11" s="1"/>
  <c r="O142" i="11"/>
  <c r="Q142" i="11" s="1"/>
  <c r="O143" i="11"/>
  <c r="Q143" i="11" s="1"/>
  <c r="O144" i="11"/>
  <c r="Q144" i="11" s="1"/>
  <c r="O145" i="11"/>
  <c r="Q145" i="11" s="1"/>
  <c r="O146" i="11"/>
  <c r="Q146" i="11" s="1"/>
  <c r="O147" i="11"/>
  <c r="Q147" i="11" s="1"/>
  <c r="O148" i="11"/>
  <c r="Q148" i="11" s="1"/>
  <c r="O149" i="11"/>
  <c r="Q149" i="11" s="1"/>
  <c r="O150" i="11"/>
  <c r="Q150" i="11" s="1"/>
  <c r="O151" i="11"/>
  <c r="Q151" i="11" s="1"/>
  <c r="O152" i="11"/>
  <c r="Q152" i="11" s="1"/>
  <c r="O153" i="11"/>
  <c r="Q153" i="11" s="1"/>
  <c r="O154" i="11"/>
  <c r="Q154" i="11" s="1"/>
  <c r="O155" i="11"/>
  <c r="Q155" i="11" s="1"/>
  <c r="O156" i="11"/>
  <c r="Q156" i="11" s="1"/>
  <c r="O157" i="11"/>
  <c r="Q157" i="11" s="1"/>
  <c r="O158" i="11"/>
  <c r="Q158" i="11" s="1"/>
  <c r="O159" i="11"/>
  <c r="Q159" i="11" s="1"/>
  <c r="O160" i="11"/>
  <c r="Q160" i="11" s="1"/>
  <c r="O161" i="11"/>
  <c r="Q161" i="11" s="1"/>
  <c r="O162" i="11"/>
  <c r="Q162" i="11" s="1"/>
  <c r="O163" i="11"/>
  <c r="Q163" i="11" s="1"/>
  <c r="O164" i="11"/>
  <c r="Q164" i="11" s="1"/>
  <c r="O165" i="11"/>
  <c r="Q165" i="11" s="1"/>
  <c r="O166" i="11"/>
  <c r="Q166" i="11" s="1"/>
  <c r="O167" i="11"/>
  <c r="Q167" i="11" s="1"/>
  <c r="O168" i="11"/>
  <c r="Q168" i="11" s="1"/>
  <c r="O169" i="11"/>
  <c r="Q169" i="11" s="1"/>
  <c r="O170" i="11"/>
  <c r="Q170" i="11" s="1"/>
  <c r="O171" i="11"/>
  <c r="Q171" i="11" s="1"/>
  <c r="O172" i="11"/>
  <c r="Q172" i="11" s="1"/>
  <c r="O173" i="11"/>
  <c r="Q173" i="11" s="1"/>
  <c r="O174" i="11"/>
  <c r="Q174" i="11" s="1"/>
  <c r="O175" i="11"/>
  <c r="Q175" i="11" s="1"/>
  <c r="O176" i="11"/>
  <c r="Q176" i="11" s="1"/>
  <c r="O177" i="11"/>
  <c r="Q177" i="11" s="1"/>
  <c r="O178" i="11"/>
  <c r="Q178" i="11" s="1"/>
  <c r="O179" i="11"/>
  <c r="Q179" i="11" s="1"/>
  <c r="O180" i="11"/>
  <c r="Q180" i="11" s="1"/>
  <c r="O181" i="11"/>
  <c r="Q181" i="11" s="1"/>
  <c r="O182" i="11"/>
  <c r="Q182" i="11" s="1"/>
  <c r="O183" i="11"/>
  <c r="Q183" i="11" s="1"/>
  <c r="O184" i="11"/>
  <c r="Q184" i="11" s="1"/>
  <c r="O185" i="11"/>
  <c r="Q185" i="11" s="1"/>
  <c r="O186" i="11"/>
  <c r="Q186" i="11" s="1"/>
  <c r="O187" i="11"/>
  <c r="Q187" i="11" s="1"/>
  <c r="O188" i="11"/>
  <c r="Q188" i="11" s="1"/>
  <c r="O189" i="11"/>
  <c r="Q189" i="11" s="1"/>
  <c r="O190" i="11"/>
  <c r="Q190" i="11" s="1"/>
  <c r="O191" i="11"/>
  <c r="Q191" i="11" s="1"/>
  <c r="O192" i="11"/>
  <c r="Q192" i="11" s="1"/>
  <c r="O193" i="11"/>
  <c r="Q193" i="11" s="1"/>
  <c r="O194" i="11"/>
  <c r="Q194" i="11" s="1"/>
  <c r="O195" i="11"/>
  <c r="Q195" i="11" s="1"/>
  <c r="O196" i="11"/>
  <c r="Q196" i="11" s="1"/>
  <c r="O197" i="11"/>
  <c r="Q197" i="11" s="1"/>
  <c r="O198" i="11"/>
  <c r="Q198" i="11" s="1"/>
  <c r="O199" i="11"/>
  <c r="Q199" i="11" s="1"/>
  <c r="O200" i="11"/>
  <c r="Q200" i="11" s="1"/>
  <c r="O201" i="11"/>
  <c r="Q201" i="11" s="1"/>
  <c r="O202" i="11"/>
  <c r="Q202" i="11" s="1"/>
  <c r="O203" i="11"/>
  <c r="Q203" i="11" s="1"/>
  <c r="O204" i="11"/>
  <c r="Q204" i="11" s="1"/>
  <c r="O205" i="11"/>
  <c r="Q205" i="11" s="1"/>
  <c r="O206" i="11"/>
  <c r="Q206" i="11" s="1"/>
  <c r="O207" i="11"/>
  <c r="Q207" i="11" s="1"/>
  <c r="O208" i="11"/>
  <c r="Q208" i="11" s="1"/>
  <c r="O209" i="11"/>
  <c r="Q209" i="11" s="1"/>
  <c r="O210" i="11"/>
  <c r="Q210" i="11" s="1"/>
  <c r="O211" i="11"/>
  <c r="Q211" i="11" s="1"/>
  <c r="O212" i="11"/>
  <c r="Q212" i="11" s="1"/>
  <c r="O213" i="11"/>
  <c r="Q213" i="11" s="1"/>
  <c r="O214" i="11"/>
  <c r="Q214" i="11" s="1"/>
  <c r="O215" i="11"/>
  <c r="Q215" i="11" s="1"/>
  <c r="O216" i="11"/>
  <c r="Q216" i="11" s="1"/>
  <c r="O217" i="11"/>
  <c r="Q217" i="11" s="1"/>
  <c r="O218" i="11"/>
  <c r="Q218" i="11" s="1"/>
  <c r="O219" i="11"/>
  <c r="Q219" i="11" s="1"/>
  <c r="O220" i="11"/>
  <c r="Q220" i="11" s="1"/>
  <c r="O221" i="11"/>
  <c r="Q221" i="11" s="1"/>
  <c r="O222" i="11"/>
  <c r="Q222" i="11" s="1"/>
  <c r="O223" i="11"/>
  <c r="Q223" i="11" s="1"/>
  <c r="O224" i="11"/>
  <c r="Q224" i="11" s="1"/>
  <c r="O225" i="11"/>
  <c r="Q225" i="11" s="1"/>
  <c r="O226" i="11"/>
  <c r="Q226" i="11" s="1"/>
  <c r="O227" i="11"/>
  <c r="Q227" i="11" s="1"/>
  <c r="O228" i="11"/>
  <c r="Q228" i="11" s="1"/>
  <c r="O229" i="11"/>
  <c r="Q229" i="11" s="1"/>
  <c r="O230" i="11"/>
  <c r="Q230" i="11" s="1"/>
  <c r="O231" i="11"/>
  <c r="Q231" i="11" s="1"/>
  <c r="O232" i="11"/>
  <c r="Q232" i="11" s="1"/>
  <c r="O233" i="11"/>
  <c r="Q233" i="11" s="1"/>
  <c r="O234" i="11"/>
  <c r="Q234" i="11" s="1"/>
  <c r="O235" i="11"/>
  <c r="Q235" i="11" s="1"/>
  <c r="O236" i="11"/>
  <c r="Q236" i="11" s="1"/>
  <c r="O237" i="11"/>
  <c r="Q237" i="11" s="1"/>
  <c r="O238" i="11"/>
  <c r="Q238" i="11" s="1"/>
  <c r="O239" i="11"/>
  <c r="Q239" i="11" s="1"/>
  <c r="O240" i="11"/>
  <c r="Q240" i="11" s="1"/>
  <c r="O241" i="11"/>
  <c r="Q241" i="11" s="1"/>
  <c r="O242" i="11"/>
  <c r="Q242" i="11" s="1"/>
  <c r="O243" i="11"/>
  <c r="Q243" i="11" s="1"/>
  <c r="O244" i="11"/>
  <c r="Q244" i="11" s="1"/>
  <c r="O245" i="11"/>
  <c r="Q245" i="11" s="1"/>
  <c r="O246" i="11"/>
  <c r="Q246" i="11" s="1"/>
  <c r="O247" i="11"/>
  <c r="Q247" i="11" s="1"/>
  <c r="O248" i="11"/>
  <c r="Q248" i="11" s="1"/>
  <c r="O249" i="11"/>
  <c r="Q249" i="11" s="1"/>
  <c r="O250" i="11"/>
  <c r="Q250" i="11" s="1"/>
  <c r="O251" i="11"/>
  <c r="Q251" i="11" s="1"/>
  <c r="O252" i="11"/>
  <c r="Q252" i="11" s="1"/>
  <c r="O253" i="11"/>
  <c r="Q253" i="11" s="1"/>
  <c r="O254" i="11"/>
  <c r="Q254" i="11" s="1"/>
  <c r="O255" i="11"/>
  <c r="Q255" i="11" s="1"/>
  <c r="O256" i="11"/>
  <c r="Q256" i="11" s="1"/>
  <c r="O257" i="11"/>
  <c r="Q257" i="11" s="1"/>
  <c r="O258" i="11"/>
  <c r="Q258" i="11" s="1"/>
  <c r="O259" i="11"/>
  <c r="Q259" i="11" s="1"/>
  <c r="O260" i="11"/>
  <c r="Q260" i="11" s="1"/>
  <c r="O261" i="11"/>
  <c r="Q261" i="11" s="1"/>
  <c r="O262" i="11"/>
  <c r="Q262" i="11" s="1"/>
  <c r="O263" i="11"/>
  <c r="Q263" i="11" s="1"/>
  <c r="O264" i="11"/>
  <c r="Q264" i="11" s="1"/>
  <c r="O265" i="11"/>
  <c r="Q265" i="11" s="1"/>
  <c r="O266" i="11"/>
  <c r="Q266" i="11" s="1"/>
  <c r="O267" i="11"/>
  <c r="Q267" i="11" s="1"/>
  <c r="O268" i="11"/>
  <c r="Q268" i="11" s="1"/>
  <c r="O269" i="11"/>
  <c r="Q269" i="11" s="1"/>
  <c r="O270" i="11"/>
  <c r="Q270" i="11" s="1"/>
  <c r="O271" i="11"/>
  <c r="Q271" i="11" s="1"/>
  <c r="O272" i="11"/>
  <c r="Q272" i="11" s="1"/>
  <c r="O273" i="11"/>
  <c r="Q273" i="11" s="1"/>
  <c r="O274" i="11"/>
  <c r="Q274" i="11" s="1"/>
  <c r="O275" i="11"/>
  <c r="Q275" i="11" s="1"/>
  <c r="O276" i="11"/>
  <c r="Q276" i="11" s="1"/>
  <c r="O277" i="11"/>
  <c r="Q277" i="11" s="1"/>
  <c r="O278" i="11"/>
  <c r="Q278" i="11" s="1"/>
  <c r="O279" i="11"/>
  <c r="Q279" i="11" s="1"/>
  <c r="O280" i="11"/>
  <c r="Q280" i="11" s="1"/>
  <c r="O281" i="11"/>
  <c r="Q281" i="11" s="1"/>
  <c r="O282" i="11"/>
  <c r="Q282" i="11" s="1"/>
  <c r="O283" i="11"/>
  <c r="Q283" i="11" s="1"/>
  <c r="O284" i="11"/>
  <c r="Q284" i="11" s="1"/>
  <c r="O285" i="11"/>
  <c r="Q285" i="11" s="1"/>
  <c r="O286" i="11"/>
  <c r="Q286" i="11" s="1"/>
  <c r="O287" i="11"/>
  <c r="Q287" i="11" s="1"/>
  <c r="O288" i="11"/>
  <c r="Q288" i="11" s="1"/>
  <c r="O289" i="11"/>
  <c r="Q289" i="11" s="1"/>
  <c r="O290" i="11"/>
  <c r="Q290" i="11" s="1"/>
  <c r="O291" i="11"/>
  <c r="Q291" i="11" s="1"/>
  <c r="O292" i="11"/>
  <c r="Q292" i="11" s="1"/>
  <c r="O293" i="11"/>
  <c r="Q293" i="11" s="1"/>
  <c r="O294" i="11"/>
  <c r="Q294" i="11" s="1"/>
  <c r="O295" i="11"/>
  <c r="Q295" i="11" s="1"/>
  <c r="O296" i="11"/>
  <c r="Q296" i="11" s="1"/>
  <c r="O297" i="11"/>
  <c r="Q297" i="11" s="1"/>
  <c r="O298" i="11"/>
  <c r="Q298" i="11" s="1"/>
  <c r="O299" i="11"/>
  <c r="Q299" i="11" s="1"/>
  <c r="O300" i="11"/>
  <c r="Q300" i="11" s="1"/>
  <c r="O301" i="11"/>
  <c r="Q301" i="11" s="1"/>
  <c r="O302" i="11"/>
  <c r="Q302" i="11" s="1"/>
  <c r="O303" i="11"/>
  <c r="Q303" i="11" s="1"/>
  <c r="O304" i="11"/>
  <c r="Q304" i="11" s="1"/>
  <c r="O305" i="11"/>
  <c r="Q305" i="11" s="1"/>
  <c r="O306" i="11"/>
  <c r="Q306" i="11" s="1"/>
  <c r="O307" i="11"/>
  <c r="Q307" i="11" s="1"/>
  <c r="O308" i="11"/>
  <c r="Q308" i="11" s="1"/>
  <c r="O309" i="11"/>
  <c r="Q309" i="11" s="1"/>
  <c r="O310" i="11"/>
  <c r="Q310" i="11" s="1"/>
  <c r="O311" i="11"/>
  <c r="Q311" i="11" s="1"/>
  <c r="O312" i="11"/>
  <c r="Q312" i="11" s="1"/>
  <c r="O313" i="11"/>
  <c r="Q313" i="11" s="1"/>
  <c r="O314" i="11"/>
  <c r="Q314" i="11" s="1"/>
  <c r="O315" i="11"/>
  <c r="Q315" i="11" s="1"/>
  <c r="O316" i="11"/>
  <c r="Q316" i="11" s="1"/>
  <c r="O317" i="11"/>
  <c r="Q317" i="11" s="1"/>
  <c r="O318" i="11"/>
  <c r="Q318" i="11" s="1"/>
  <c r="O319" i="11"/>
  <c r="Q319" i="11" s="1"/>
  <c r="O320" i="11"/>
  <c r="Q320" i="11" s="1"/>
  <c r="O321" i="11"/>
  <c r="Q321" i="11" s="1"/>
  <c r="O322" i="11"/>
  <c r="Q322" i="11" s="1"/>
  <c r="O323" i="11"/>
  <c r="Q323" i="11" s="1"/>
  <c r="O324" i="11"/>
  <c r="Q324" i="11" s="1"/>
  <c r="O325" i="11"/>
  <c r="Q325" i="11" s="1"/>
  <c r="O326" i="11"/>
  <c r="Q326" i="11" s="1"/>
  <c r="O327" i="11"/>
  <c r="Q327" i="11" s="1"/>
  <c r="O328" i="11"/>
  <c r="Q328" i="11" s="1"/>
  <c r="O329" i="11"/>
  <c r="Q329" i="11" s="1"/>
  <c r="O330" i="11"/>
  <c r="Q330" i="11" s="1"/>
  <c r="O331" i="11"/>
  <c r="Q331" i="11" s="1"/>
  <c r="O332" i="11"/>
  <c r="Q332" i="11" s="1"/>
  <c r="O333" i="11"/>
  <c r="Q333" i="11" s="1"/>
  <c r="O334" i="11"/>
  <c r="Q334" i="11" s="1"/>
  <c r="O335" i="11"/>
  <c r="Q335" i="11" s="1"/>
  <c r="O336" i="11"/>
  <c r="Q336" i="11" s="1"/>
  <c r="O337" i="11"/>
  <c r="Q337" i="11" s="1"/>
  <c r="O338" i="11"/>
  <c r="Q338" i="11" s="1"/>
  <c r="O339" i="11"/>
  <c r="Q339" i="11" s="1"/>
  <c r="O340" i="11"/>
  <c r="Q340" i="11" s="1"/>
  <c r="O341" i="11"/>
  <c r="Q341" i="11" s="1"/>
  <c r="O342" i="11"/>
  <c r="Q342" i="11" s="1"/>
  <c r="O343" i="11"/>
  <c r="Q343" i="11" s="1"/>
  <c r="O344" i="11"/>
  <c r="Q344" i="11" s="1"/>
  <c r="O345" i="11"/>
  <c r="Q345" i="11" s="1"/>
  <c r="O346" i="11"/>
  <c r="Q346" i="11" s="1"/>
  <c r="O347" i="11"/>
  <c r="Q347" i="11" s="1"/>
  <c r="O348" i="11"/>
  <c r="Q348" i="11" s="1"/>
  <c r="O349" i="11"/>
  <c r="Q349" i="11" s="1"/>
  <c r="O350" i="11"/>
  <c r="Q350" i="11" s="1"/>
  <c r="O351" i="11"/>
  <c r="Q351" i="11" s="1"/>
  <c r="O352" i="11"/>
  <c r="Q352" i="11" s="1"/>
  <c r="O353" i="11"/>
  <c r="Q353" i="11" s="1"/>
  <c r="O354" i="11"/>
  <c r="Q354" i="11" s="1"/>
  <c r="O355" i="11"/>
  <c r="Q355" i="11" s="1"/>
  <c r="O356" i="11"/>
  <c r="Q356" i="11" s="1"/>
  <c r="O357" i="11"/>
  <c r="Q357" i="11" s="1"/>
  <c r="O358" i="11"/>
  <c r="Q358" i="11" s="1"/>
  <c r="O359" i="11"/>
  <c r="Q359" i="11" s="1"/>
  <c r="O360" i="11"/>
  <c r="Q360" i="11" s="1"/>
  <c r="O361" i="11"/>
  <c r="Q361" i="11" s="1"/>
  <c r="O362" i="11"/>
  <c r="Q362" i="11" s="1"/>
  <c r="O363" i="11"/>
  <c r="Q363" i="11" s="1"/>
  <c r="O364" i="11"/>
  <c r="Q364" i="11" s="1"/>
  <c r="O365" i="11"/>
  <c r="Q365" i="11" s="1"/>
  <c r="O366" i="11"/>
  <c r="Q366" i="11" s="1"/>
  <c r="O367" i="11"/>
  <c r="Q367" i="11" s="1"/>
  <c r="O368" i="11"/>
  <c r="Q368" i="11" s="1"/>
  <c r="O369" i="11"/>
  <c r="Q369" i="11" s="1"/>
  <c r="O370" i="11"/>
  <c r="Q370" i="11" s="1"/>
  <c r="O371" i="11"/>
  <c r="Q371" i="11" s="1"/>
  <c r="O372" i="11"/>
  <c r="Q372" i="11" s="1"/>
  <c r="O373" i="11"/>
  <c r="Q373" i="11" s="1"/>
  <c r="O374" i="11"/>
  <c r="Q374" i="11" s="1"/>
  <c r="O375" i="11"/>
  <c r="Q375" i="11" s="1"/>
  <c r="O376" i="11"/>
  <c r="Q376" i="11" s="1"/>
  <c r="O377" i="11"/>
  <c r="Q377" i="11" s="1"/>
  <c r="O378" i="11"/>
  <c r="Q378" i="11" s="1"/>
  <c r="O379" i="11"/>
  <c r="Q379" i="11" s="1"/>
  <c r="O380" i="11"/>
  <c r="Q380" i="11" s="1"/>
  <c r="O381" i="11"/>
  <c r="Q381" i="11" s="1"/>
  <c r="O382" i="11"/>
  <c r="Q382" i="11" s="1"/>
  <c r="O383" i="11"/>
  <c r="Q383" i="11" s="1"/>
  <c r="O384" i="11"/>
  <c r="Q384" i="11" s="1"/>
  <c r="O385" i="11"/>
  <c r="Q385" i="11" s="1"/>
  <c r="O386" i="11"/>
  <c r="Q386" i="11" s="1"/>
  <c r="O387" i="11"/>
  <c r="Q387" i="11" s="1"/>
  <c r="O388" i="11"/>
  <c r="Q388" i="11" s="1"/>
  <c r="O389" i="11"/>
  <c r="Q389" i="11" s="1"/>
  <c r="O390" i="11"/>
  <c r="Q390" i="11" s="1"/>
  <c r="O391" i="11"/>
  <c r="Q391" i="11" s="1"/>
  <c r="O392" i="11"/>
  <c r="Q392" i="11" s="1"/>
  <c r="O393" i="11"/>
  <c r="Q393" i="11" s="1"/>
  <c r="O394" i="11"/>
  <c r="Q394" i="11" s="1"/>
  <c r="O395" i="11"/>
  <c r="Q395" i="11" s="1"/>
  <c r="O396" i="11"/>
  <c r="Q396" i="11" s="1"/>
  <c r="O397" i="11"/>
  <c r="Q397" i="11" s="1"/>
  <c r="O398" i="11"/>
  <c r="Q398" i="11" s="1"/>
  <c r="O399" i="11"/>
  <c r="Q399" i="11" s="1"/>
  <c r="O400" i="11"/>
  <c r="Q400" i="11" s="1"/>
  <c r="O401" i="11"/>
  <c r="Q401" i="11" s="1"/>
  <c r="O402" i="11"/>
  <c r="Q402" i="11" s="1"/>
  <c r="O403" i="11"/>
  <c r="Q403" i="11" s="1"/>
  <c r="O404" i="11"/>
  <c r="Q404" i="11" s="1"/>
  <c r="O405" i="11"/>
  <c r="Q405" i="11" s="1"/>
  <c r="O406" i="11"/>
  <c r="Q406" i="11" s="1"/>
  <c r="O407" i="11"/>
  <c r="Q407" i="11" s="1"/>
  <c r="O408" i="11"/>
  <c r="Q408" i="11" s="1"/>
  <c r="O409" i="11"/>
  <c r="Q409" i="11" s="1"/>
  <c r="O410" i="11"/>
  <c r="Q410" i="11" s="1"/>
  <c r="O411" i="11"/>
  <c r="Q411" i="11" s="1"/>
  <c r="O412" i="11"/>
  <c r="Q412" i="11" s="1"/>
  <c r="O413" i="11"/>
  <c r="Q413" i="11" s="1"/>
  <c r="O414" i="11"/>
  <c r="Q414" i="11" s="1"/>
  <c r="O415" i="11"/>
  <c r="Q415" i="11" s="1"/>
  <c r="O416" i="11"/>
  <c r="Q416" i="11" s="1"/>
  <c r="O417" i="11"/>
  <c r="Q417" i="11" s="1"/>
  <c r="O418" i="11"/>
  <c r="Q418" i="11" s="1"/>
  <c r="O419" i="11"/>
  <c r="Q419" i="11" s="1"/>
  <c r="O420" i="11"/>
  <c r="Q420" i="11" s="1"/>
  <c r="O421" i="11"/>
  <c r="Q421" i="11" s="1"/>
  <c r="O422" i="11"/>
  <c r="Q422" i="11" s="1"/>
  <c r="O423" i="11"/>
  <c r="Q423" i="11" s="1"/>
  <c r="O424" i="11"/>
  <c r="Q424" i="11" s="1"/>
  <c r="O425" i="11"/>
  <c r="Q425" i="11" s="1"/>
  <c r="O426" i="11"/>
  <c r="Q426" i="11" s="1"/>
  <c r="O427" i="11"/>
  <c r="Q427" i="11" s="1"/>
  <c r="O428" i="11"/>
  <c r="Q428" i="11" s="1"/>
  <c r="O429" i="11"/>
  <c r="Q429" i="11" s="1"/>
  <c r="O430" i="11"/>
  <c r="Q430" i="11" s="1"/>
  <c r="O431" i="11"/>
  <c r="Q431" i="11" s="1"/>
  <c r="O432" i="11"/>
  <c r="Q432" i="11" s="1"/>
  <c r="O433" i="11"/>
  <c r="Q433" i="11" s="1"/>
  <c r="O434" i="11"/>
  <c r="Q434" i="11" s="1"/>
  <c r="O435" i="11"/>
  <c r="Q435" i="11" s="1"/>
  <c r="O436" i="11"/>
  <c r="Q436" i="11" s="1"/>
  <c r="O437" i="11"/>
  <c r="Q437" i="11" s="1"/>
  <c r="O438" i="11"/>
  <c r="Q438" i="11" s="1"/>
  <c r="O439" i="11"/>
  <c r="Q439" i="11" s="1"/>
  <c r="O440" i="11"/>
  <c r="Q440" i="11" s="1"/>
  <c r="O441" i="11"/>
  <c r="Q441" i="11" s="1"/>
  <c r="O442" i="11"/>
  <c r="Q442" i="11" s="1"/>
  <c r="O443" i="11"/>
  <c r="Q443" i="11" s="1"/>
  <c r="O444" i="11"/>
  <c r="Q444" i="11" s="1"/>
  <c r="O445" i="11"/>
  <c r="Q445" i="11" s="1"/>
  <c r="O446" i="11"/>
  <c r="Q446" i="11" s="1"/>
  <c r="O447" i="11"/>
  <c r="Q447" i="11" s="1"/>
  <c r="O448" i="11"/>
  <c r="Q448" i="11" s="1"/>
  <c r="O449" i="11"/>
  <c r="Q449" i="11" s="1"/>
  <c r="O450" i="11"/>
  <c r="Q450" i="11" s="1"/>
  <c r="O27" i="11"/>
  <c r="Q27" i="11" s="1"/>
  <c r="O28" i="11"/>
  <c r="Q28" i="11" s="1"/>
  <c r="O29" i="11"/>
  <c r="Q29" i="11" s="1"/>
  <c r="O30" i="11"/>
  <c r="Q30" i="11" s="1"/>
  <c r="O31" i="11"/>
  <c r="Q31" i="11" s="1"/>
  <c r="O32" i="11"/>
  <c r="Q32" i="11" s="1"/>
  <c r="O33" i="11"/>
  <c r="Q33" i="11" s="1"/>
  <c r="P21" i="11" l="1"/>
  <c r="S21" i="11"/>
  <c r="J40" i="14"/>
  <c r="J41" i="14"/>
  <c r="J42" i="14"/>
  <c r="J43" i="14"/>
  <c r="J45" i="14"/>
  <c r="J46" i="14"/>
  <c r="J47" i="14"/>
  <c r="J48" i="14"/>
  <c r="J49" i="14"/>
  <c r="J50" i="14"/>
  <c r="J51" i="14"/>
  <c r="J52" i="14"/>
  <c r="J53" i="14"/>
  <c r="J54" i="14"/>
  <c r="J55" i="14"/>
  <c r="J44" i="14"/>
  <c r="D12" i="24"/>
  <c r="I56" i="14" l="1"/>
  <c r="E28" i="8"/>
  <c r="E29" i="8"/>
  <c r="E30" i="8"/>
  <c r="E31" i="8"/>
  <c r="E32" i="8"/>
  <c r="E33" i="8"/>
  <c r="E34" i="8"/>
  <c r="E35" i="8"/>
  <c r="E36" i="8"/>
  <c r="E37" i="8"/>
  <c r="E38" i="8"/>
  <c r="E39" i="8"/>
  <c r="E40" i="8"/>
  <c r="E41" i="8"/>
  <c r="F35" i="13" l="1"/>
  <c r="E148" i="8"/>
  <c r="E149" i="8"/>
  <c r="E150" i="8"/>
  <c r="E151" i="8"/>
  <c r="E152" i="8"/>
  <c r="E153" i="8"/>
  <c r="E154" i="8"/>
  <c r="E155" i="8"/>
  <c r="E156" i="8"/>
  <c r="E157" i="8"/>
  <c r="E158" i="8"/>
  <c r="E159" i="8"/>
  <c r="E66" i="8"/>
  <c r="E61" i="8"/>
  <c r="F61" i="8"/>
  <c r="E62" i="8"/>
  <c r="F62" i="8"/>
  <c r="E63" i="8"/>
  <c r="F63" i="8"/>
  <c r="E64" i="8"/>
  <c r="F64" i="8"/>
  <c r="E65" i="8"/>
  <c r="F65" i="8"/>
  <c r="F66" i="8"/>
  <c r="E67" i="8"/>
  <c r="F67" i="8"/>
  <c r="E68" i="8"/>
  <c r="F68" i="8"/>
  <c r="E69" i="8"/>
  <c r="F69" i="8"/>
  <c r="E70" i="8"/>
  <c r="F70" i="8"/>
  <c r="E71" i="8"/>
  <c r="F71" i="8"/>
  <c r="E72" i="8"/>
  <c r="F72" i="8"/>
  <c r="E83" i="10" l="1"/>
  <c r="E84" i="10"/>
  <c r="E86" i="10"/>
  <c r="E87" i="10"/>
  <c r="E82" i="10"/>
  <c r="G88" i="10"/>
  <c r="D33" i="14" l="1"/>
  <c r="F41" i="13"/>
  <c r="F39" i="13"/>
  <c r="F38" i="13"/>
  <c r="F37" i="13"/>
  <c r="B80" i="14" l="1"/>
  <c r="C80" i="14" s="1"/>
  <c r="B79" i="14"/>
  <c r="C79" i="14" s="1"/>
  <c r="B78" i="14"/>
  <c r="C78" i="14" s="1"/>
  <c r="B77" i="14"/>
  <c r="C77" i="14" s="1"/>
  <c r="B76" i="14"/>
  <c r="C76" i="14" s="1"/>
  <c r="B75" i="14"/>
  <c r="C75" i="14" s="1"/>
  <c r="D27" i="14"/>
  <c r="E14" i="24" l="1"/>
  <c r="G29" i="24" l="1"/>
  <c r="G25" i="24"/>
  <c r="D25" i="24"/>
  <c r="D19" i="24"/>
  <c r="G23" i="24" l="1"/>
  <c r="L14" i="24"/>
  <c r="V17" i="11" l="1"/>
  <c r="W17" i="11"/>
  <c r="L12" i="24"/>
  <c r="C48" i="10" l="1"/>
  <c r="C47" i="10"/>
  <c r="C46" i="10"/>
  <c r="C45" i="10"/>
  <c r="C56" i="10"/>
  <c r="C55" i="10"/>
  <c r="C54" i="10"/>
  <c r="C53" i="10"/>
  <c r="C52" i="10"/>
  <c r="C51" i="10"/>
  <c r="C50" i="10"/>
  <c r="C49" i="10"/>
  <c r="B40" i="10"/>
  <c r="B35" i="10"/>
  <c r="B41" i="10" l="1"/>
  <c r="G84" i="10"/>
  <c r="G85" i="10"/>
  <c r="G87" i="10"/>
  <c r="G86" i="10"/>
  <c r="G83" i="10"/>
  <c r="B36" i="10"/>
  <c r="E78" i="10" s="1"/>
  <c r="G78" i="10"/>
  <c r="G82" i="10"/>
  <c r="G79" i="10"/>
  <c r="B73" i="14" l="1"/>
  <c r="C73" i="14" s="1"/>
  <c r="E79" i="10"/>
  <c r="B74" i="14"/>
  <c r="C74" i="14" s="1"/>
  <c r="F78" i="10"/>
  <c r="F13" i="8"/>
  <c r="F14" i="8"/>
  <c r="F15" i="8"/>
  <c r="F16" i="8"/>
  <c r="F17" i="8"/>
  <c r="F18" i="8"/>
  <c r="F19" i="8"/>
  <c r="F20" i="8"/>
  <c r="F21" i="8"/>
  <c r="F22" i="8"/>
  <c r="F23" i="8"/>
  <c r="F24" i="8"/>
  <c r="F25" i="8"/>
  <c r="F26" i="8"/>
  <c r="F27" i="8"/>
  <c r="F28" i="8"/>
  <c r="F29" i="8"/>
  <c r="F30" i="8"/>
  <c r="F31" i="8"/>
  <c r="F37" i="8"/>
  <c r="F38" i="8"/>
  <c r="F39" i="8"/>
  <c r="F40" i="8"/>
  <c r="F41" i="8"/>
  <c r="F42" i="8"/>
  <c r="F43" i="8"/>
  <c r="F44" i="8"/>
  <c r="F45" i="8"/>
  <c r="F46" i="8"/>
  <c r="F47" i="8"/>
  <c r="F48" i="8"/>
  <c r="F49" i="8"/>
  <c r="F50" i="8"/>
  <c r="F51" i="8"/>
  <c r="F52" i="8"/>
  <c r="F53" i="8"/>
  <c r="F54" i="8"/>
  <c r="F55" i="8"/>
  <c r="F56" i="8"/>
  <c r="F57" i="8"/>
  <c r="F58" i="8"/>
  <c r="F59" i="8"/>
  <c r="F60" i="8"/>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H42" i="24"/>
  <c r="C115" i="5" l="1"/>
  <c r="B115" i="5"/>
  <c r="K26" i="11" l="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K328" i="11"/>
  <c r="K329" i="11"/>
  <c r="K330" i="11"/>
  <c r="K331" i="11"/>
  <c r="K332" i="11"/>
  <c r="K333" i="11"/>
  <c r="K334" i="11"/>
  <c r="K335" i="11"/>
  <c r="K336"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68" i="11"/>
  <c r="K369" i="11"/>
  <c r="K370" i="11"/>
  <c r="K371" i="11"/>
  <c r="K372" i="11"/>
  <c r="K373" i="11"/>
  <c r="K374" i="11"/>
  <c r="K375" i="11"/>
  <c r="K376" i="11"/>
  <c r="K377" i="11"/>
  <c r="K378" i="11"/>
  <c r="K379" i="11"/>
  <c r="K380" i="11"/>
  <c r="K381" i="11"/>
  <c r="K382" i="11"/>
  <c r="K383" i="11"/>
  <c r="K384" i="11"/>
  <c r="K385" i="11"/>
  <c r="K386" i="11"/>
  <c r="K387" i="11"/>
  <c r="K388" i="11"/>
  <c r="K389" i="11"/>
  <c r="K390" i="11"/>
  <c r="K391" i="11"/>
  <c r="K392" i="11"/>
  <c r="K393" i="11"/>
  <c r="K394" i="11"/>
  <c r="K395" i="11"/>
  <c r="K396" i="11"/>
  <c r="K397" i="11"/>
  <c r="K398" i="11"/>
  <c r="K399" i="11"/>
  <c r="K400" i="11"/>
  <c r="K401" i="11"/>
  <c r="K402" i="11"/>
  <c r="K403" i="11"/>
  <c r="K404" i="11"/>
  <c r="K405" i="11"/>
  <c r="K406" i="11"/>
  <c r="K407" i="11"/>
  <c r="K408" i="11"/>
  <c r="K409" i="11"/>
  <c r="K410" i="11"/>
  <c r="K411" i="11"/>
  <c r="K412" i="11"/>
  <c r="K413" i="11"/>
  <c r="K414" i="11"/>
  <c r="K415" i="11"/>
  <c r="K416" i="11"/>
  <c r="K417" i="11"/>
  <c r="K418" i="11"/>
  <c r="K419" i="11"/>
  <c r="K420" i="11"/>
  <c r="K421" i="11"/>
  <c r="K422" i="11"/>
  <c r="K423" i="11"/>
  <c r="K424" i="11"/>
  <c r="K425" i="11"/>
  <c r="K426" i="11"/>
  <c r="K427" i="11"/>
  <c r="K428" i="11"/>
  <c r="K429" i="11"/>
  <c r="K430" i="11"/>
  <c r="K431" i="11"/>
  <c r="K432" i="11"/>
  <c r="K433" i="11"/>
  <c r="K434" i="11"/>
  <c r="K435" i="11"/>
  <c r="K436" i="11"/>
  <c r="K437" i="11"/>
  <c r="K438" i="11"/>
  <c r="K439" i="11"/>
  <c r="K440" i="11"/>
  <c r="K441" i="11"/>
  <c r="K442" i="11"/>
  <c r="K443" i="11"/>
  <c r="K444" i="11"/>
  <c r="K445" i="11"/>
  <c r="K446" i="11"/>
  <c r="K447" i="11"/>
  <c r="K448" i="11"/>
  <c r="K449" i="11"/>
  <c r="K450"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N393" i="11"/>
  <c r="N394" i="11"/>
  <c r="N395" i="11"/>
  <c r="N396" i="11"/>
  <c r="N397" i="11"/>
  <c r="N398" i="11"/>
  <c r="N399" i="11"/>
  <c r="N400" i="11"/>
  <c r="N401" i="11"/>
  <c r="N402" i="11"/>
  <c r="N403" i="11"/>
  <c r="N404" i="11"/>
  <c r="N405" i="11"/>
  <c r="N406" i="11"/>
  <c r="N407" i="11"/>
  <c r="N408" i="11"/>
  <c r="N409" i="11"/>
  <c r="N410" i="11"/>
  <c r="N411" i="11"/>
  <c r="N412" i="11"/>
  <c r="N413" i="11"/>
  <c r="N414" i="11"/>
  <c r="N415" i="11"/>
  <c r="N416" i="11"/>
  <c r="N417" i="11"/>
  <c r="N418" i="11"/>
  <c r="N419" i="11"/>
  <c r="N420" i="11"/>
  <c r="N421" i="11"/>
  <c r="N422" i="11"/>
  <c r="N423" i="11"/>
  <c r="N424" i="11"/>
  <c r="N425" i="11"/>
  <c r="N426" i="11"/>
  <c r="N427" i="11"/>
  <c r="N428" i="11"/>
  <c r="N429" i="11"/>
  <c r="N430" i="11"/>
  <c r="N431" i="11"/>
  <c r="N432" i="11"/>
  <c r="N433" i="11"/>
  <c r="N434" i="11"/>
  <c r="N435" i="11"/>
  <c r="N436" i="11"/>
  <c r="N437" i="11"/>
  <c r="N438" i="11"/>
  <c r="N439" i="11"/>
  <c r="N440" i="11"/>
  <c r="N441" i="11"/>
  <c r="N442" i="11"/>
  <c r="N443" i="11"/>
  <c r="N444" i="11"/>
  <c r="N445" i="11"/>
  <c r="N446" i="11"/>
  <c r="N447" i="11"/>
  <c r="N448" i="11"/>
  <c r="N449" i="11"/>
  <c r="N450" i="11"/>
  <c r="C13" i="12" a="1"/>
  <c r="C13" i="12" s="1"/>
  <c r="L120" i="17"/>
  <c r="L118" i="17"/>
  <c r="L117" i="17"/>
  <c r="L116" i="17"/>
  <c r="L119" i="17"/>
  <c r="L121" i="17"/>
  <c r="L122" i="17"/>
  <c r="L123" i="17"/>
  <c r="L124" i="17"/>
  <c r="L125" i="17"/>
  <c r="L126" i="17"/>
  <c r="L127" i="17"/>
  <c r="L128" i="17"/>
  <c r="L129" i="17"/>
  <c r="L130" i="17"/>
  <c r="L131" i="17"/>
  <c r="L132" i="17"/>
  <c r="L96" i="17"/>
  <c r="L97" i="17"/>
  <c r="L98" i="17"/>
  <c r="L99" i="17"/>
  <c r="L100" i="17"/>
  <c r="L101" i="17"/>
  <c r="L102" i="17"/>
  <c r="L103" i="17"/>
  <c r="L104" i="17"/>
  <c r="L105" i="17"/>
  <c r="L106" i="17"/>
  <c r="L107" i="17"/>
  <c r="L108" i="17"/>
  <c r="L109" i="17"/>
  <c r="L110" i="17"/>
  <c r="L111" i="17"/>
  <c r="L112" i="17"/>
  <c r="L113" i="17"/>
  <c r="L114" i="17"/>
  <c r="L115" i="17"/>
  <c r="L93" i="17"/>
  <c r="L85" i="17"/>
  <c r="L86" i="17"/>
  <c r="L87" i="17"/>
  <c r="L88" i="17"/>
  <c r="L89" i="17"/>
  <c r="L90" i="17"/>
  <c r="L91" i="17"/>
  <c r="L92" i="17"/>
  <c r="L79" i="17"/>
  <c r="L80" i="17"/>
  <c r="L81" i="17"/>
  <c r="L82" i="17"/>
  <c r="L83" i="17"/>
  <c r="L84" i="17"/>
  <c r="L51" i="17"/>
  <c r="L52" i="17"/>
  <c r="L53" i="17"/>
  <c r="L54" i="17"/>
  <c r="L55" i="17"/>
  <c r="L56" i="17"/>
  <c r="L57" i="17"/>
  <c r="L58" i="17"/>
  <c r="L59" i="17"/>
  <c r="L60" i="17"/>
  <c r="L61" i="17"/>
  <c r="L62" i="17"/>
  <c r="L63" i="17"/>
  <c r="L64" i="17"/>
  <c r="L65" i="17"/>
  <c r="L66" i="17"/>
  <c r="L67" i="17"/>
  <c r="L68" i="17"/>
  <c r="H13" i="17" s="1"/>
  <c r="D13" i="17" s="1"/>
  <c r="L69" i="17"/>
  <c r="L70" i="17"/>
  <c r="L71" i="17"/>
  <c r="L72" i="17"/>
  <c r="L73" i="17"/>
  <c r="L74" i="17"/>
  <c r="L75" i="17"/>
  <c r="L76" i="17"/>
  <c r="L50" i="17"/>
  <c r="L49" i="17"/>
  <c r="L39" i="17"/>
  <c r="L40" i="17"/>
  <c r="L41" i="17"/>
  <c r="L42" i="17"/>
  <c r="L43" i="17"/>
  <c r="L44" i="17"/>
  <c r="L45" i="17"/>
  <c r="L46" i="17"/>
  <c r="L47" i="17"/>
  <c r="L48" i="17"/>
  <c r="L28" i="17"/>
  <c r="L29" i="17"/>
  <c r="L30" i="17"/>
  <c r="L31" i="17"/>
  <c r="L32" i="17"/>
  <c r="L33" i="17"/>
  <c r="L34" i="17"/>
  <c r="L35" i="17"/>
  <c r="L36" i="17"/>
  <c r="L37" i="17"/>
  <c r="L38" i="17"/>
  <c r="F12" i="8"/>
  <c r="F12" i="7"/>
  <c r="H40" i="24"/>
  <c r="B17" i="17"/>
  <c r="A26" i="17"/>
  <c r="A49" i="17"/>
  <c r="A77" i="17"/>
  <c r="A94" i="17"/>
  <c r="A116" i="17"/>
  <c r="O53" i="19"/>
  <c r="O54" i="19"/>
  <c r="O55" i="19"/>
  <c r="O56" i="19"/>
  <c r="O57" i="19"/>
  <c r="O58" i="19"/>
  <c r="O59" i="19"/>
  <c r="O60" i="19"/>
  <c r="O61" i="19"/>
  <c r="O62" i="19"/>
  <c r="M53" i="19"/>
  <c r="M54" i="19"/>
  <c r="M55" i="19"/>
  <c r="M56" i="19"/>
  <c r="M57" i="19"/>
  <c r="M58" i="19"/>
  <c r="M59" i="19"/>
  <c r="M60" i="19"/>
  <c r="G52" i="19"/>
  <c r="H52" i="19" s="1"/>
  <c r="G53" i="19"/>
  <c r="H53" i="19" s="1"/>
  <c r="G54" i="19"/>
  <c r="H54" i="19" s="1"/>
  <c r="G55" i="19"/>
  <c r="H55" i="19" s="1"/>
  <c r="G56" i="19"/>
  <c r="H56" i="19" s="1"/>
  <c r="G57" i="19"/>
  <c r="H57" i="19" s="1"/>
  <c r="G58" i="19"/>
  <c r="H58" i="19" s="1"/>
  <c r="G59" i="19"/>
  <c r="H59" i="19" s="1"/>
  <c r="G60" i="19"/>
  <c r="H60" i="19" s="1"/>
  <c r="G61" i="19"/>
  <c r="H61" i="19" s="1"/>
  <c r="F52" i="19"/>
  <c r="F53" i="19"/>
  <c r="F54" i="19"/>
  <c r="F55" i="19"/>
  <c r="F56" i="19"/>
  <c r="F57" i="19"/>
  <c r="F58" i="19"/>
  <c r="F59" i="19"/>
  <c r="F60" i="19"/>
  <c r="D52" i="19"/>
  <c r="D53" i="19"/>
  <c r="D54" i="19"/>
  <c r="D55" i="19"/>
  <c r="D56" i="19"/>
  <c r="D57" i="19"/>
  <c r="D58" i="19"/>
  <c r="D59" i="19"/>
  <c r="D60" i="19"/>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97" i="8"/>
  <c r="E98" i="8"/>
  <c r="E99" i="8"/>
  <c r="E100" i="8"/>
  <c r="E101" i="8"/>
  <c r="E102" i="8"/>
  <c r="E103" i="8"/>
  <c r="E104" i="8"/>
  <c r="E105" i="8"/>
  <c r="E106" i="8"/>
  <c r="E107" i="8"/>
  <c r="E108" i="8"/>
  <c r="E109" i="8"/>
  <c r="E110" i="8"/>
  <c r="E111" i="8"/>
  <c r="E112" i="8"/>
  <c r="E140" i="8"/>
  <c r="E141" i="8"/>
  <c r="E142" i="8"/>
  <c r="E143" i="8"/>
  <c r="E144" i="8"/>
  <c r="E145" i="8"/>
  <c r="E146" i="8"/>
  <c r="E147" i="8"/>
  <c r="E42" i="8"/>
  <c r="E43" i="8"/>
  <c r="E44" i="8"/>
  <c r="E45" i="8"/>
  <c r="E46" i="8"/>
  <c r="E47" i="8"/>
  <c r="E48" i="8"/>
  <c r="E49" i="8"/>
  <c r="E50" i="8"/>
  <c r="E51" i="8"/>
  <c r="E52" i="8"/>
  <c r="E53" i="8"/>
  <c r="E54" i="8"/>
  <c r="E55" i="8"/>
  <c r="E200" i="7"/>
  <c r="E201" i="7"/>
  <c r="E202" i="7"/>
  <c r="E203" i="7"/>
  <c r="E204" i="7"/>
  <c r="E205" i="7"/>
  <c r="E206" i="7"/>
  <c r="E207" i="7"/>
  <c r="E208" i="7"/>
  <c r="E209" i="7"/>
  <c r="E210" i="7"/>
  <c r="E211" i="7"/>
  <c r="E212" i="7"/>
  <c r="E213" i="7"/>
  <c r="E214" i="7"/>
  <c r="E215"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2" i="7"/>
  <c r="Q142" i="19"/>
  <c r="Q143" i="19"/>
  <c r="Q144" i="19"/>
  <c r="Q145" i="19"/>
  <c r="O142" i="19"/>
  <c r="O143" i="19"/>
  <c r="O144" i="19"/>
  <c r="O145" i="19"/>
  <c r="M142" i="19"/>
  <c r="M143" i="19"/>
  <c r="M144" i="19"/>
  <c r="M145" i="19"/>
  <c r="G142" i="19"/>
  <c r="H142" i="19" s="1"/>
  <c r="G143" i="19"/>
  <c r="H143" i="19" s="1"/>
  <c r="G144" i="19"/>
  <c r="H144" i="19" s="1"/>
  <c r="G145" i="19"/>
  <c r="H145" i="19" s="1"/>
  <c r="F142" i="19"/>
  <c r="F143" i="19"/>
  <c r="F144" i="19"/>
  <c r="F145" i="19"/>
  <c r="D142" i="19"/>
  <c r="D143" i="19"/>
  <c r="D144" i="19"/>
  <c r="D145" i="19"/>
  <c r="Q106" i="19"/>
  <c r="Q107" i="19"/>
  <c r="Q108" i="19"/>
  <c r="Q109" i="19"/>
  <c r="Q110" i="19"/>
  <c r="Q111" i="19"/>
  <c r="Q112" i="19"/>
  <c r="Q113" i="19"/>
  <c r="Q114" i="19"/>
  <c r="Q115" i="19"/>
  <c r="Q116" i="19"/>
  <c r="Q117" i="19"/>
  <c r="Q118" i="19"/>
  <c r="Q119" i="19"/>
  <c r="Q120" i="19"/>
  <c r="Q121" i="19"/>
  <c r="Q122" i="19"/>
  <c r="Q123" i="19"/>
  <c r="Q124" i="19"/>
  <c r="Q125" i="19"/>
  <c r="Q126" i="19"/>
  <c r="Q127" i="19"/>
  <c r="Q128" i="19"/>
  <c r="Q129"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M106" i="19"/>
  <c r="M107" i="19"/>
  <c r="M108" i="19"/>
  <c r="M109" i="19"/>
  <c r="M110" i="19"/>
  <c r="M111" i="19"/>
  <c r="M112" i="19"/>
  <c r="M113" i="19"/>
  <c r="M114" i="19"/>
  <c r="M115" i="19"/>
  <c r="M116" i="19"/>
  <c r="M117" i="19"/>
  <c r="M118" i="19"/>
  <c r="M119" i="19"/>
  <c r="M120" i="19"/>
  <c r="M121" i="19"/>
  <c r="M122" i="19"/>
  <c r="M123" i="19"/>
  <c r="M124" i="19"/>
  <c r="M125" i="19"/>
  <c r="M126" i="19"/>
  <c r="M127" i="19"/>
  <c r="M128" i="19"/>
  <c r="M129" i="19"/>
  <c r="G106" i="19"/>
  <c r="H106" i="19" s="1"/>
  <c r="G107" i="19"/>
  <c r="H107" i="19" s="1"/>
  <c r="G108" i="19"/>
  <c r="H108" i="19" s="1"/>
  <c r="G109" i="19"/>
  <c r="H109" i="19" s="1"/>
  <c r="G110" i="19"/>
  <c r="H110" i="19" s="1"/>
  <c r="G111" i="19"/>
  <c r="H111" i="19" s="1"/>
  <c r="G112" i="19"/>
  <c r="H112" i="19" s="1"/>
  <c r="G113" i="19"/>
  <c r="H113" i="19" s="1"/>
  <c r="G114" i="19"/>
  <c r="H114" i="19" s="1"/>
  <c r="G115" i="19"/>
  <c r="H115" i="19" s="1"/>
  <c r="G116" i="19"/>
  <c r="H116" i="19" s="1"/>
  <c r="G117" i="19"/>
  <c r="H117" i="19" s="1"/>
  <c r="G118" i="19"/>
  <c r="H118" i="19" s="1"/>
  <c r="G119" i="19"/>
  <c r="H119" i="19" s="1"/>
  <c r="G120" i="19"/>
  <c r="H120" i="19" s="1"/>
  <c r="G121" i="19"/>
  <c r="H121" i="19" s="1"/>
  <c r="G122" i="19"/>
  <c r="H122" i="19" s="1"/>
  <c r="G123" i="19"/>
  <c r="H123" i="19" s="1"/>
  <c r="G124" i="19"/>
  <c r="H124" i="19" s="1"/>
  <c r="G125" i="19"/>
  <c r="H125" i="19" s="1"/>
  <c r="G126" i="19"/>
  <c r="H126" i="19" s="1"/>
  <c r="G127" i="19"/>
  <c r="H127" i="19" s="1"/>
  <c r="G128" i="19"/>
  <c r="H128" i="19" s="1"/>
  <c r="G129" i="19"/>
  <c r="H129" i="19" s="1"/>
  <c r="F106" i="19"/>
  <c r="F107" i="19"/>
  <c r="F108" i="19"/>
  <c r="F109" i="19"/>
  <c r="F110" i="19"/>
  <c r="F111" i="19"/>
  <c r="F112" i="19"/>
  <c r="F113" i="19"/>
  <c r="F114" i="19"/>
  <c r="F115" i="19"/>
  <c r="F116" i="19"/>
  <c r="F117" i="19"/>
  <c r="F118" i="19"/>
  <c r="F119" i="19"/>
  <c r="F120" i="19"/>
  <c r="F121" i="19"/>
  <c r="F122" i="19"/>
  <c r="F123" i="19"/>
  <c r="F124" i="19"/>
  <c r="F125" i="19"/>
  <c r="F126" i="19"/>
  <c r="F127" i="19"/>
  <c r="F128" i="19"/>
  <c r="F129" i="19"/>
  <c r="D106" i="19"/>
  <c r="D107" i="19"/>
  <c r="D108" i="19"/>
  <c r="D109" i="19"/>
  <c r="D110" i="19"/>
  <c r="D111" i="19"/>
  <c r="D112" i="19"/>
  <c r="D113" i="19"/>
  <c r="D114" i="19"/>
  <c r="D115" i="19"/>
  <c r="D116" i="19"/>
  <c r="D117" i="19"/>
  <c r="D118" i="19"/>
  <c r="D119" i="19"/>
  <c r="D120" i="19"/>
  <c r="D121" i="19"/>
  <c r="D122" i="19"/>
  <c r="D123" i="19"/>
  <c r="D124" i="19"/>
  <c r="D125" i="19"/>
  <c r="D126" i="19"/>
  <c r="D127" i="19"/>
  <c r="D128" i="19"/>
  <c r="D129" i="19"/>
  <c r="O44" i="19"/>
  <c r="O45" i="19"/>
  <c r="O46" i="19"/>
  <c r="O47" i="19"/>
  <c r="O48" i="19"/>
  <c r="O49" i="19"/>
  <c r="O50" i="19"/>
  <c r="O51" i="19"/>
  <c r="O52" i="19"/>
  <c r="O63" i="19"/>
  <c r="O64" i="19"/>
  <c r="O65" i="19"/>
  <c r="O66" i="19"/>
  <c r="O67" i="19"/>
  <c r="M44" i="19"/>
  <c r="M45" i="19"/>
  <c r="M46" i="19"/>
  <c r="M47" i="19"/>
  <c r="M48" i="19"/>
  <c r="M49" i="19"/>
  <c r="M50" i="19"/>
  <c r="M51" i="19"/>
  <c r="M52" i="19"/>
  <c r="M61" i="19"/>
  <c r="M62" i="19"/>
  <c r="M63" i="19"/>
  <c r="M64" i="19"/>
  <c r="M65" i="19"/>
  <c r="M66" i="19"/>
  <c r="M67"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G18" i="19"/>
  <c r="H18" i="19" s="1"/>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61" i="19"/>
  <c r="D62" i="19"/>
  <c r="D63" i="19"/>
  <c r="D64" i="19"/>
  <c r="D65" i="19"/>
  <c r="D66" i="19"/>
  <c r="D67" i="19"/>
  <c r="G44" i="19"/>
  <c r="H44" i="19" s="1"/>
  <c r="G45" i="19"/>
  <c r="H45" i="19" s="1"/>
  <c r="G46" i="19"/>
  <c r="H46" i="19" s="1"/>
  <c r="G47" i="19"/>
  <c r="H47" i="19" s="1"/>
  <c r="G48" i="19"/>
  <c r="H48" i="19" s="1"/>
  <c r="G49" i="19"/>
  <c r="H49" i="19" s="1"/>
  <c r="G50" i="19"/>
  <c r="H50" i="19" s="1"/>
  <c r="G51" i="19"/>
  <c r="H51" i="19" s="1"/>
  <c r="G62" i="19"/>
  <c r="H62" i="19" s="1"/>
  <c r="G63" i="19"/>
  <c r="H63" i="19" s="1"/>
  <c r="G64" i="19"/>
  <c r="H64" i="19" s="1"/>
  <c r="G65" i="19"/>
  <c r="H65" i="19" s="1"/>
  <c r="G66" i="19"/>
  <c r="H66" i="19" s="1"/>
  <c r="G67" i="19"/>
  <c r="H67" i="19" s="1"/>
  <c r="F44" i="19"/>
  <c r="F45" i="19"/>
  <c r="F46" i="19"/>
  <c r="F47" i="19"/>
  <c r="F48" i="19"/>
  <c r="F49" i="19"/>
  <c r="F50" i="19"/>
  <c r="F51" i="19"/>
  <c r="F61" i="19"/>
  <c r="F62" i="19"/>
  <c r="F63" i="19"/>
  <c r="F64" i="19"/>
  <c r="F65" i="19"/>
  <c r="F66" i="19"/>
  <c r="F67" i="19"/>
  <c r="E14" i="12"/>
  <c r="G16" i="17"/>
  <c r="C16" i="17" s="1"/>
  <c r="H16" i="17"/>
  <c r="D16" i="17" s="1"/>
  <c r="G68" i="12"/>
  <c r="I68" i="12" s="1"/>
  <c r="G69" i="12"/>
  <c r="I69" i="12" s="1"/>
  <c r="G70" i="12"/>
  <c r="I70" i="12" s="1"/>
  <c r="G71" i="12"/>
  <c r="I71" i="12" s="1"/>
  <c r="G72" i="12"/>
  <c r="I72" i="12" s="1"/>
  <c r="G73" i="12"/>
  <c r="I73" i="12" s="1"/>
  <c r="G74" i="12"/>
  <c r="I74" i="12" s="1"/>
  <c r="G75" i="12"/>
  <c r="I75" i="12" s="1"/>
  <c r="G76" i="12"/>
  <c r="I76" i="12" s="1"/>
  <c r="G77" i="12"/>
  <c r="I77" i="12" s="1"/>
  <c r="G78" i="12"/>
  <c r="I78" i="12" s="1"/>
  <c r="G46" i="27"/>
  <c r="I46" i="27" s="1"/>
  <c r="G47" i="27"/>
  <c r="I47" i="27" s="1"/>
  <c r="G48" i="27"/>
  <c r="I48" i="27" s="1"/>
  <c r="G49" i="27"/>
  <c r="I49" i="27" s="1"/>
  <c r="G50" i="27"/>
  <c r="I50" i="27" s="1"/>
  <c r="G51" i="27"/>
  <c r="I51" i="27" s="1"/>
  <c r="G52" i="27"/>
  <c r="I52" i="27" s="1"/>
  <c r="G53" i="27"/>
  <c r="I53" i="27" s="1"/>
  <c r="G54" i="27"/>
  <c r="I54" i="27" s="1"/>
  <c r="G55" i="27"/>
  <c r="I55" i="27" s="1"/>
  <c r="G56" i="27"/>
  <c r="I56" i="27" s="1"/>
  <c r="G58" i="27"/>
  <c r="I58" i="27" s="1"/>
  <c r="G59" i="27"/>
  <c r="I59" i="27" s="1"/>
  <c r="G60" i="27"/>
  <c r="I60" i="27" s="1"/>
  <c r="G61" i="27"/>
  <c r="I61" i="27" s="1"/>
  <c r="G62" i="27"/>
  <c r="I62" i="27" s="1"/>
  <c r="G63" i="27"/>
  <c r="I63" i="27" s="1"/>
  <c r="G64" i="27"/>
  <c r="I64" i="27" s="1"/>
  <c r="G65" i="27"/>
  <c r="I65" i="27" s="1"/>
  <c r="G66" i="27"/>
  <c r="I66" i="27" s="1"/>
  <c r="G67" i="27"/>
  <c r="I67" i="27" s="1"/>
  <c r="G68" i="27"/>
  <c r="I68" i="27" s="1"/>
  <c r="G69" i="27"/>
  <c r="I69" i="27" s="1"/>
  <c r="G70" i="27"/>
  <c r="I70" i="27" s="1"/>
  <c r="G71" i="27"/>
  <c r="I71" i="27" s="1"/>
  <c r="G72" i="27"/>
  <c r="I72" i="27" s="1"/>
  <c r="G73" i="27"/>
  <c r="I73" i="27" s="1"/>
  <c r="G74" i="27"/>
  <c r="I74" i="27" s="1"/>
  <c r="G75" i="27"/>
  <c r="I75" i="27" s="1"/>
  <c r="G76" i="27"/>
  <c r="I76" i="27" s="1"/>
  <c r="G77" i="27"/>
  <c r="I77" i="27" s="1"/>
  <c r="G78" i="27"/>
  <c r="I78" i="27" s="1"/>
  <c r="G25" i="27"/>
  <c r="I25" i="27" s="1"/>
  <c r="G26" i="27"/>
  <c r="I26" i="27" s="1"/>
  <c r="G27" i="27"/>
  <c r="I27" i="27" s="1"/>
  <c r="G28" i="27"/>
  <c r="I28" i="27" s="1"/>
  <c r="G29" i="27"/>
  <c r="I29" i="27" s="1"/>
  <c r="G30" i="27"/>
  <c r="I30" i="27" s="1"/>
  <c r="G31" i="27"/>
  <c r="I31" i="27" s="1"/>
  <c r="G32" i="27"/>
  <c r="I32" i="27" s="1"/>
  <c r="G33" i="27"/>
  <c r="I33" i="27" s="1"/>
  <c r="G34" i="27"/>
  <c r="I34" i="27" s="1"/>
  <c r="G35" i="27"/>
  <c r="I35" i="27" s="1"/>
  <c r="G36" i="27"/>
  <c r="I36" i="27" s="1"/>
  <c r="G37" i="27"/>
  <c r="I37" i="27" s="1"/>
  <c r="G38" i="27"/>
  <c r="I38" i="27" s="1"/>
  <c r="G39" i="27"/>
  <c r="I39" i="27" s="1"/>
  <c r="G40" i="27"/>
  <c r="I40" i="27" s="1"/>
  <c r="G41" i="27"/>
  <c r="I41" i="27" s="1"/>
  <c r="G42" i="27"/>
  <c r="I42" i="27" s="1"/>
  <c r="G43" i="27"/>
  <c r="I43" i="27" s="1"/>
  <c r="G44" i="27"/>
  <c r="I44" i="27" s="1"/>
  <c r="G45" i="27"/>
  <c r="I45" i="27" s="1"/>
  <c r="U17" i="11"/>
  <c r="N25" i="11"/>
  <c r="E12" i="24"/>
  <c r="Y34" i="24" s="1"/>
  <c r="L77" i="17"/>
  <c r="L78" i="17"/>
  <c r="L94" i="17"/>
  <c r="L95" i="17"/>
  <c r="E16" i="24"/>
  <c r="G16" i="24" s="1"/>
  <c r="C9" i="14"/>
  <c r="B9" i="10"/>
  <c r="H22" i="9"/>
  <c r="F22" i="9"/>
  <c r="D22" i="9"/>
  <c r="B22" i="9"/>
  <c r="K41" i="24"/>
  <c r="E15" i="27"/>
  <c r="E14" i="27"/>
  <c r="C12" i="27" a="1"/>
  <c r="C12" i="27" s="1"/>
  <c r="G83" i="12"/>
  <c r="I83" i="12" s="1"/>
  <c r="G84" i="12"/>
  <c r="I84" i="12" s="1"/>
  <c r="G85" i="12"/>
  <c r="I85" i="12" s="1"/>
  <c r="G86" i="12"/>
  <c r="I86" i="12" s="1"/>
  <c r="G87" i="12"/>
  <c r="I87" i="12" s="1"/>
  <c r="G88" i="12"/>
  <c r="I88" i="12" s="1"/>
  <c r="G89" i="12"/>
  <c r="I89" i="12" s="1"/>
  <c r="G90" i="12"/>
  <c r="I90" i="12" s="1"/>
  <c r="G91" i="12"/>
  <c r="I91" i="12" s="1"/>
  <c r="G92" i="12"/>
  <c r="I92" i="12" s="1"/>
  <c r="G93" i="12"/>
  <c r="I93" i="12" s="1"/>
  <c r="G94" i="12"/>
  <c r="I94" i="12" s="1"/>
  <c r="G95" i="12"/>
  <c r="I95" i="12" s="1"/>
  <c r="G96" i="12"/>
  <c r="I96" i="12" s="1"/>
  <c r="G97" i="12"/>
  <c r="I97" i="12" s="1"/>
  <c r="G98" i="12"/>
  <c r="I98" i="12" s="1"/>
  <c r="G99" i="12"/>
  <c r="I99" i="12" s="1"/>
  <c r="G100" i="12"/>
  <c r="I100" i="12" s="1"/>
  <c r="G101" i="12"/>
  <c r="I101" i="12" s="1"/>
  <c r="E15" i="12"/>
  <c r="C12" i="12" a="1"/>
  <c r="C12" i="12" s="1"/>
  <c r="X15" i="24"/>
  <c r="G83" i="27"/>
  <c r="I83" i="27" s="1"/>
  <c r="G84" i="27"/>
  <c r="I84" i="27" s="1"/>
  <c r="G85" i="27"/>
  <c r="I85" i="27" s="1"/>
  <c r="G86" i="27"/>
  <c r="I86" i="27" s="1"/>
  <c r="G87" i="27"/>
  <c r="I87" i="27" s="1"/>
  <c r="G88" i="27"/>
  <c r="I88" i="27" s="1"/>
  <c r="G89" i="27"/>
  <c r="I89" i="27" s="1"/>
  <c r="G90" i="27"/>
  <c r="I90" i="27" s="1"/>
  <c r="G91" i="27"/>
  <c r="I91" i="27" s="1"/>
  <c r="G92" i="27"/>
  <c r="I92" i="27" s="1"/>
  <c r="G93" i="27"/>
  <c r="I93" i="27" s="1"/>
  <c r="G94" i="27"/>
  <c r="I94" i="27" s="1"/>
  <c r="G95" i="27"/>
  <c r="I95" i="27" s="1"/>
  <c r="G96" i="27"/>
  <c r="I96" i="27" s="1"/>
  <c r="G97" i="27"/>
  <c r="I97" i="27" s="1"/>
  <c r="G98" i="27"/>
  <c r="I98" i="27" s="1"/>
  <c r="G99" i="27"/>
  <c r="I99" i="27" s="1"/>
  <c r="G100" i="27"/>
  <c r="I100" i="27" s="1"/>
  <c r="G101" i="27"/>
  <c r="I101" i="27" s="1"/>
  <c r="S14" i="24"/>
  <c r="C13" i="27" a="1"/>
  <c r="C13" i="27" s="1"/>
  <c r="G57" i="27"/>
  <c r="I57" i="27" s="1"/>
  <c r="L43" i="24"/>
  <c r="E41" i="24"/>
  <c r="E79" i="27"/>
  <c r="F150" i="12"/>
  <c r="H122" i="27"/>
  <c r="H123" i="27" s="1"/>
  <c r="F122" i="27"/>
  <c r="E122" i="27"/>
  <c r="D122" i="27"/>
  <c r="D13" i="27" s="1"/>
  <c r="G121" i="27"/>
  <c r="I121" i="27" s="1"/>
  <c r="G120" i="27"/>
  <c r="I120" i="27" s="1"/>
  <c r="G119" i="27"/>
  <c r="I119" i="27" s="1"/>
  <c r="G118" i="27"/>
  <c r="I118" i="27" s="1"/>
  <c r="G117" i="27"/>
  <c r="I117" i="27" s="1"/>
  <c r="G116" i="27"/>
  <c r="I116" i="27" s="1"/>
  <c r="G115" i="27"/>
  <c r="I115" i="27" s="1"/>
  <c r="G114" i="27"/>
  <c r="I114" i="27" s="1"/>
  <c r="G113" i="27"/>
  <c r="I113" i="27" s="1"/>
  <c r="G112" i="27"/>
  <c r="I112" i="27" s="1"/>
  <c r="G111" i="27"/>
  <c r="I111" i="27" s="1"/>
  <c r="G110" i="27"/>
  <c r="I110" i="27" s="1"/>
  <c r="G109" i="27"/>
  <c r="I109" i="27" s="1"/>
  <c r="G108" i="27"/>
  <c r="I108" i="27" s="1"/>
  <c r="G107" i="27"/>
  <c r="I107" i="27" s="1"/>
  <c r="G106" i="27"/>
  <c r="I106" i="27" s="1"/>
  <c r="G105" i="27"/>
  <c r="I105" i="27" s="1"/>
  <c r="G104" i="27"/>
  <c r="I104" i="27" s="1"/>
  <c r="G103" i="27"/>
  <c r="I103" i="27" s="1"/>
  <c r="G102" i="27"/>
  <c r="I102" i="27" s="1"/>
  <c r="H79" i="27"/>
  <c r="H80" i="27" s="1"/>
  <c r="F79" i="27"/>
  <c r="D79" i="27"/>
  <c r="D12" i="27" s="1"/>
  <c r="G24" i="27"/>
  <c r="I24" i="27" s="1"/>
  <c r="C79" i="27"/>
  <c r="B12" i="27" s="1"/>
  <c r="O13" i="24" s="1"/>
  <c r="E6" i="27"/>
  <c r="B6" i="27"/>
  <c r="E219" i="7"/>
  <c r="E218" i="7"/>
  <c r="E217" i="7"/>
  <c r="E216" i="7"/>
  <c r="E199" i="7"/>
  <c r="E194" i="7"/>
  <c r="E193" i="7"/>
  <c r="E191" i="7"/>
  <c r="E190" i="7"/>
  <c r="E189" i="7"/>
  <c r="E188" i="7"/>
  <c r="E187" i="7"/>
  <c r="E186" i="7"/>
  <c r="E185" i="7"/>
  <c r="E184" i="7"/>
  <c r="E183" i="7"/>
  <c r="E182" i="7"/>
  <c r="E181" i="7"/>
  <c r="E180" i="7"/>
  <c r="E179" i="7"/>
  <c r="E178" i="7"/>
  <c r="E177" i="7"/>
  <c r="E175" i="7"/>
  <c r="E174" i="7"/>
  <c r="E173" i="7"/>
  <c r="E172" i="7"/>
  <c r="E171" i="7"/>
  <c r="E170" i="7"/>
  <c r="E169" i="7"/>
  <c r="E167" i="7"/>
  <c r="E166" i="7"/>
  <c r="E165" i="7"/>
  <c r="E164" i="7"/>
  <c r="E163" i="7"/>
  <c r="E162" i="7"/>
  <c r="E161" i="7"/>
  <c r="E160" i="7"/>
  <c r="E159" i="7"/>
  <c r="E158" i="7"/>
  <c r="E157" i="7"/>
  <c r="E156" i="7"/>
  <c r="E155" i="7"/>
  <c r="E154" i="7"/>
  <c r="E153" i="7"/>
  <c r="E152" i="7"/>
  <c r="E151" i="7"/>
  <c r="E150" i="7"/>
  <c r="E149" i="7"/>
  <c r="E148" i="7"/>
  <c r="E147" i="7"/>
  <c r="E146" i="7"/>
  <c r="E144" i="7"/>
  <c r="E143" i="7"/>
  <c r="E141" i="7"/>
  <c r="E140" i="7"/>
  <c r="E139" i="7"/>
  <c r="E138" i="7"/>
  <c r="E137" i="7"/>
  <c r="E198" i="7"/>
  <c r="E142" i="7"/>
  <c r="E197" i="7"/>
  <c r="E176" i="7"/>
  <c r="E196" i="7"/>
  <c r="E195" i="7"/>
  <c r="E145" i="7"/>
  <c r="E168" i="7"/>
  <c r="E192" i="7"/>
  <c r="E22" i="10"/>
  <c r="F34" i="13"/>
  <c r="E13" i="8"/>
  <c r="E14" i="8"/>
  <c r="E15" i="8"/>
  <c r="E16" i="8"/>
  <c r="E17" i="8"/>
  <c r="E18" i="8"/>
  <c r="E19" i="8"/>
  <c r="E20" i="8"/>
  <c r="E21" i="8"/>
  <c r="E22" i="8"/>
  <c r="E23" i="8"/>
  <c r="E24" i="8"/>
  <c r="E25" i="8"/>
  <c r="E26" i="8"/>
  <c r="E27" i="8"/>
  <c r="E56" i="8"/>
  <c r="E57" i="8"/>
  <c r="E58" i="8"/>
  <c r="E59" i="8"/>
  <c r="E60" i="8"/>
  <c r="E12" i="8"/>
  <c r="B4" i="5"/>
  <c r="F10" i="19"/>
  <c r="F9" i="19"/>
  <c r="F8" i="19"/>
  <c r="B10" i="19"/>
  <c r="B9" i="19"/>
  <c r="C6" i="3" s="1"/>
  <c r="B8" i="19"/>
  <c r="H9" i="8"/>
  <c r="H94" i="8" s="1"/>
  <c r="H8" i="8"/>
  <c r="H93" i="8" s="1"/>
  <c r="H7" i="8"/>
  <c r="H92" i="8" s="1"/>
  <c r="C9" i="8"/>
  <c r="C94" i="8" s="1"/>
  <c r="C8" i="8"/>
  <c r="C93" i="8" s="1"/>
  <c r="C7" i="8"/>
  <c r="C92" i="8" s="1"/>
  <c r="G7" i="9"/>
  <c r="G6" i="9"/>
  <c r="C7" i="9"/>
  <c r="C6" i="9"/>
  <c r="E6" i="12"/>
  <c r="E5" i="12"/>
  <c r="B6" i="12"/>
  <c r="B5" i="12"/>
  <c r="H7" i="13"/>
  <c r="H6" i="13"/>
  <c r="B7" i="13"/>
  <c r="B5" i="13"/>
  <c r="F10" i="10"/>
  <c r="F9" i="10"/>
  <c r="B11" i="10"/>
  <c r="B10" i="10"/>
  <c r="G9" i="14"/>
  <c r="G11" i="14"/>
  <c r="G10" i="14"/>
  <c r="C11" i="14"/>
  <c r="C10" i="14"/>
  <c r="F8" i="11"/>
  <c r="F7" i="11"/>
  <c r="C9" i="11"/>
  <c r="C8" i="11"/>
  <c r="C7" i="11"/>
  <c r="B9" i="17"/>
  <c r="B8" i="17"/>
  <c r="B7" i="17"/>
  <c r="I9" i="17"/>
  <c r="I8" i="17"/>
  <c r="I7" i="17"/>
  <c r="G6" i="5"/>
  <c r="G5" i="5"/>
  <c r="G4" i="5"/>
  <c r="B6" i="5"/>
  <c r="B5" i="5"/>
  <c r="B6" i="26"/>
  <c r="B5" i="26"/>
  <c r="B4" i="26"/>
  <c r="B3" i="26"/>
  <c r="F8" i="3"/>
  <c r="F6" i="3"/>
  <c r="C8" i="3"/>
  <c r="C7" i="3"/>
  <c r="C5" i="3"/>
  <c r="K23" i="14"/>
  <c r="K24" i="14"/>
  <c r="F79" i="10"/>
  <c r="B59" i="9"/>
  <c r="B12" i="26"/>
  <c r="CG15" i="26" s="1"/>
  <c r="H111" i="5"/>
  <c r="D120" i="5" s="1"/>
  <c r="G111" i="5"/>
  <c r="C120" i="5" s="1"/>
  <c r="D15" i="3"/>
  <c r="I44" i="24"/>
  <c r="H44" i="24"/>
  <c r="E65413" i="26"/>
  <c r="E65412" i="26"/>
  <c r="E65411" i="26"/>
  <c r="E65410" i="26"/>
  <c r="E65409" i="26"/>
  <c r="E65408" i="26"/>
  <c r="E65407" i="26"/>
  <c r="E65406" i="26"/>
  <c r="E65405" i="26"/>
  <c r="E65404" i="26"/>
  <c r="E65403" i="26"/>
  <c r="E65402" i="26"/>
  <c r="E65401" i="26"/>
  <c r="E65400" i="26"/>
  <c r="E65399" i="26"/>
  <c r="E65398" i="26"/>
  <c r="E65397" i="26"/>
  <c r="E65396" i="26"/>
  <c r="E65395" i="26"/>
  <c r="E65394" i="26"/>
  <c r="E65393" i="26"/>
  <c r="E65392" i="26"/>
  <c r="E65391" i="26"/>
  <c r="E65390" i="26"/>
  <c r="E65389" i="26"/>
  <c r="E65388" i="26"/>
  <c r="E65387" i="26"/>
  <c r="E65386" i="26"/>
  <c r="E65385" i="26"/>
  <c r="E65384" i="26"/>
  <c r="E65383" i="26"/>
  <c r="E65382" i="26"/>
  <c r="E65381" i="26"/>
  <c r="E65380" i="26"/>
  <c r="H98" i="26"/>
  <c r="H97" i="26" s="1"/>
  <c r="G98" i="26"/>
  <c r="G97" i="26" s="1"/>
  <c r="F98" i="26"/>
  <c r="F97" i="26" s="1"/>
  <c r="Q96" i="26"/>
  <c r="O96" i="26"/>
  <c r="AG15" i="26"/>
  <c r="H9" i="7"/>
  <c r="H134" i="7" s="1"/>
  <c r="H8" i="7"/>
  <c r="H133" i="7" s="1"/>
  <c r="H7" i="7"/>
  <c r="H132" i="7" s="1"/>
  <c r="C9" i="7"/>
  <c r="C134" i="7" s="1"/>
  <c r="C8" i="7"/>
  <c r="C133" i="7" s="1"/>
  <c r="C7" i="7"/>
  <c r="C132" i="7" s="1"/>
  <c r="K33" i="14"/>
  <c r="F83" i="10"/>
  <c r="F84" i="10"/>
  <c r="F85" i="10"/>
  <c r="F86" i="10"/>
  <c r="F87" i="10"/>
  <c r="F88" i="10"/>
  <c r="F82" i="10"/>
  <c r="F41" i="23"/>
  <c r="F42" i="23"/>
  <c r="F43" i="23"/>
  <c r="F44" i="23"/>
  <c r="F45" i="23"/>
  <c r="F46" i="23"/>
  <c r="F47" i="23"/>
  <c r="F48" i="23"/>
  <c r="F49" i="23"/>
  <c r="F50" i="23"/>
  <c r="F51" i="23"/>
  <c r="F52" i="23"/>
  <c r="F53" i="23"/>
  <c r="F54" i="23"/>
  <c r="F55" i="23"/>
  <c r="F56" i="23"/>
  <c r="F57" i="23"/>
  <c r="F58" i="23"/>
  <c r="F59" i="23"/>
  <c r="F60" i="23"/>
  <c r="F61" i="23"/>
  <c r="F62" i="23"/>
  <c r="F63" i="23"/>
  <c r="F64" i="23"/>
  <c r="F40" i="23"/>
  <c r="D40" i="23"/>
  <c r="M18" i="19"/>
  <c r="AQ5" i="15"/>
  <c r="AQ6" i="15"/>
  <c r="AQ7" i="15"/>
  <c r="AQ8" i="15"/>
  <c r="AQ9" i="15"/>
  <c r="AQ10" i="15"/>
  <c r="AQ11" i="15"/>
  <c r="AQ12" i="15"/>
  <c r="AQ13" i="15"/>
  <c r="AQ14" i="15"/>
  <c r="AQ15" i="15"/>
  <c r="AQ16" i="15"/>
  <c r="AQ17" i="15"/>
  <c r="AQ18" i="15"/>
  <c r="AQ19" i="15"/>
  <c r="AQ20" i="15"/>
  <c r="AQ21" i="15"/>
  <c r="AQ22" i="15"/>
  <c r="AQ23" i="15"/>
  <c r="AQ24" i="15"/>
  <c r="AQ25" i="15"/>
  <c r="AQ26" i="15"/>
  <c r="AQ27" i="15"/>
  <c r="AQ28" i="15"/>
  <c r="AQ29" i="15"/>
  <c r="AQ30" i="15"/>
  <c r="AQ31" i="15"/>
  <c r="AQ32" i="15"/>
  <c r="AQ33" i="15"/>
  <c r="AQ34" i="15"/>
  <c r="AQ35" i="15"/>
  <c r="AQ36" i="15"/>
  <c r="AQ37" i="15"/>
  <c r="AQ38" i="15"/>
  <c r="AQ39" i="15"/>
  <c r="AQ40" i="15"/>
  <c r="AQ41" i="15"/>
  <c r="AQ42" i="15"/>
  <c r="AQ43" i="15"/>
  <c r="AQ44" i="15"/>
  <c r="AQ45" i="15"/>
  <c r="AQ46" i="15"/>
  <c r="AQ47" i="15"/>
  <c r="AQ48" i="15"/>
  <c r="AQ49" i="15"/>
  <c r="AQ50" i="15"/>
  <c r="AQ51" i="15"/>
  <c r="AQ52" i="15"/>
  <c r="AQ53" i="15"/>
  <c r="AQ54" i="15"/>
  <c r="AQ55" i="15"/>
  <c r="AQ56" i="15"/>
  <c r="AQ57" i="15"/>
  <c r="AQ58" i="15"/>
  <c r="AQ59" i="15"/>
  <c r="AQ60" i="15"/>
  <c r="AQ61" i="15"/>
  <c r="AQ62" i="15"/>
  <c r="AQ63" i="15"/>
  <c r="AQ64" i="15"/>
  <c r="AQ65" i="15"/>
  <c r="AQ66" i="15"/>
  <c r="AQ67" i="15"/>
  <c r="AQ68" i="15"/>
  <c r="AQ69" i="15"/>
  <c r="AQ70" i="15"/>
  <c r="AQ71" i="15"/>
  <c r="AQ72" i="15"/>
  <c r="AQ73" i="15"/>
  <c r="AQ74" i="15"/>
  <c r="AQ75" i="15"/>
  <c r="AQ76" i="15"/>
  <c r="AQ77" i="15"/>
  <c r="AQ4" i="15"/>
  <c r="AJ4" i="15"/>
  <c r="AJ70" i="15"/>
  <c r="I72" i="14"/>
  <c r="H72" i="14"/>
  <c r="K30" i="14"/>
  <c r="D29" i="14"/>
  <c r="K29" i="14" s="1"/>
  <c r="D32" i="14"/>
  <c r="K32" i="14" s="1"/>
  <c r="A22" i="23"/>
  <c r="A19" i="23"/>
  <c r="A20" i="23"/>
  <c r="A21" i="23"/>
  <c r="F35" i="23"/>
  <c r="F34" i="23"/>
  <c r="F33" i="23"/>
  <c r="F32" i="23"/>
  <c r="F31" i="23"/>
  <c r="F30" i="23"/>
  <c r="F29" i="23"/>
  <c r="F28" i="23"/>
  <c r="F27" i="23"/>
  <c r="A38" i="23"/>
  <c r="A37" i="23"/>
  <c r="A36" i="23"/>
  <c r="A35" i="23"/>
  <c r="A34" i="23"/>
  <c r="A33" i="23"/>
  <c r="A32" i="23"/>
  <c r="A31" i="23"/>
  <c r="A30" i="23"/>
  <c r="A29" i="23"/>
  <c r="A28" i="23"/>
  <c r="A27" i="23"/>
  <c r="F18" i="23"/>
  <c r="A18" i="23"/>
  <c r="F17" i="23"/>
  <c r="A17" i="23"/>
  <c r="F16" i="23"/>
  <c r="A16" i="23"/>
  <c r="F15" i="23"/>
  <c r="A15" i="23"/>
  <c r="F14" i="23"/>
  <c r="A14" i="23"/>
  <c r="F13" i="23"/>
  <c r="A13" i="23"/>
  <c r="F12" i="23"/>
  <c r="A12" i="23"/>
  <c r="F11" i="23"/>
  <c r="A11" i="23"/>
  <c r="F10" i="23"/>
  <c r="A10" i="23"/>
  <c r="F9" i="23"/>
  <c r="A9" i="23"/>
  <c r="F8" i="23"/>
  <c r="A8" i="23"/>
  <c r="F7" i="23"/>
  <c r="A7" i="23"/>
  <c r="F6" i="23"/>
  <c r="A6" i="23"/>
  <c r="F5" i="23"/>
  <c r="A5" i="23"/>
  <c r="F4" i="23"/>
  <c r="A4" i="23"/>
  <c r="F3" i="23"/>
  <c r="A3" i="23"/>
  <c r="A37" i="20"/>
  <c r="A36" i="20"/>
  <c r="A35" i="20"/>
  <c r="A34" i="20"/>
  <c r="A33" i="20"/>
  <c r="A32" i="20"/>
  <c r="A31" i="20"/>
  <c r="A30" i="20"/>
  <c r="A29" i="20"/>
  <c r="A28" i="20"/>
  <c r="A27" i="20"/>
  <c r="A26" i="20"/>
  <c r="F18" i="20"/>
  <c r="A18" i="20"/>
  <c r="F17" i="20"/>
  <c r="A17" i="20"/>
  <c r="F16" i="20"/>
  <c r="A16" i="20"/>
  <c r="F15" i="20"/>
  <c r="A15" i="20"/>
  <c r="F14" i="20"/>
  <c r="A14" i="20"/>
  <c r="F13" i="20"/>
  <c r="A13" i="20"/>
  <c r="F12" i="20"/>
  <c r="A12" i="20"/>
  <c r="F11" i="20"/>
  <c r="A11" i="20"/>
  <c r="F10" i="20"/>
  <c r="A10" i="20"/>
  <c r="F9" i="20"/>
  <c r="A9" i="20"/>
  <c r="F8" i="20"/>
  <c r="A8" i="20"/>
  <c r="F7" i="20"/>
  <c r="A7" i="20"/>
  <c r="F6" i="20"/>
  <c r="A6" i="20"/>
  <c r="F5" i="20"/>
  <c r="A5" i="20"/>
  <c r="F4" i="20"/>
  <c r="A4" i="20"/>
  <c r="F3" i="20"/>
  <c r="A3" i="20"/>
  <c r="AT148" i="19"/>
  <c r="AT144" i="19"/>
  <c r="Q141" i="19"/>
  <c r="O141" i="19"/>
  <c r="M141" i="19"/>
  <c r="G141" i="19"/>
  <c r="H141" i="19" s="1"/>
  <c r="F141" i="19"/>
  <c r="D141" i="19"/>
  <c r="Q140" i="19"/>
  <c r="O140" i="19"/>
  <c r="M140" i="19"/>
  <c r="G140" i="19"/>
  <c r="H140" i="19" s="1"/>
  <c r="F140" i="19"/>
  <c r="D140" i="19"/>
  <c r="Q139" i="19"/>
  <c r="O139" i="19"/>
  <c r="M139" i="19"/>
  <c r="G139" i="19"/>
  <c r="H139" i="19" s="1"/>
  <c r="F139" i="19"/>
  <c r="D139" i="19"/>
  <c r="Q138" i="19"/>
  <c r="O138" i="19"/>
  <c r="M138" i="19"/>
  <c r="G138" i="19"/>
  <c r="H138" i="19" s="1"/>
  <c r="F138" i="19"/>
  <c r="D138" i="19"/>
  <c r="Q137" i="19"/>
  <c r="O137" i="19"/>
  <c r="M137" i="19"/>
  <c r="G137" i="19"/>
  <c r="H137" i="19" s="1"/>
  <c r="F137" i="19"/>
  <c r="D137" i="19"/>
  <c r="Q136" i="19"/>
  <c r="O136" i="19"/>
  <c r="M136" i="19"/>
  <c r="G136" i="19"/>
  <c r="H136" i="19" s="1"/>
  <c r="F136" i="19"/>
  <c r="D136" i="19"/>
  <c r="Q135" i="19"/>
  <c r="O135" i="19"/>
  <c r="M135" i="19"/>
  <c r="G135" i="19"/>
  <c r="H135" i="19" s="1"/>
  <c r="F135" i="19"/>
  <c r="D135" i="19"/>
  <c r="Q134" i="19"/>
  <c r="O134" i="19"/>
  <c r="M134" i="19"/>
  <c r="G134" i="19"/>
  <c r="H134" i="19" s="1"/>
  <c r="F134" i="19"/>
  <c r="D134" i="19"/>
  <c r="Q105" i="19"/>
  <c r="O105" i="19"/>
  <c r="M105" i="19"/>
  <c r="G105" i="19"/>
  <c r="H105" i="19" s="1"/>
  <c r="F105" i="19"/>
  <c r="D105" i="19"/>
  <c r="Q104" i="19"/>
  <c r="O104" i="19"/>
  <c r="M104" i="19"/>
  <c r="G104" i="19"/>
  <c r="H104" i="19" s="1"/>
  <c r="F104" i="19"/>
  <c r="D104" i="19"/>
  <c r="Q103" i="19"/>
  <c r="O103" i="19"/>
  <c r="M103" i="19"/>
  <c r="G103" i="19"/>
  <c r="H103" i="19" s="1"/>
  <c r="F103" i="19"/>
  <c r="D103" i="19"/>
  <c r="Q102" i="19"/>
  <c r="O102" i="19"/>
  <c r="M102" i="19"/>
  <c r="G102" i="19"/>
  <c r="H102" i="19" s="1"/>
  <c r="F102" i="19"/>
  <c r="D102" i="19"/>
  <c r="Q101" i="19"/>
  <c r="O101" i="19"/>
  <c r="M101" i="19"/>
  <c r="G101" i="19"/>
  <c r="H101" i="19" s="1"/>
  <c r="F101" i="19"/>
  <c r="D101" i="19"/>
  <c r="Q100" i="19"/>
  <c r="O100" i="19"/>
  <c r="M100" i="19"/>
  <c r="G100" i="19"/>
  <c r="H100" i="19" s="1"/>
  <c r="F100" i="19"/>
  <c r="D100" i="19"/>
  <c r="Q99" i="19"/>
  <c r="O99" i="19"/>
  <c r="M99" i="19"/>
  <c r="G99" i="19"/>
  <c r="H99" i="19" s="1"/>
  <c r="F99" i="19"/>
  <c r="D99" i="19"/>
  <c r="Q98" i="19"/>
  <c r="O98" i="19"/>
  <c r="M98" i="19"/>
  <c r="G98" i="19"/>
  <c r="H98" i="19" s="1"/>
  <c r="F98" i="19"/>
  <c r="D98" i="19"/>
  <c r="Q97" i="19"/>
  <c r="O97" i="19"/>
  <c r="M97" i="19"/>
  <c r="G97" i="19"/>
  <c r="H97" i="19" s="1"/>
  <c r="F97" i="19"/>
  <c r="D97" i="19"/>
  <c r="Q96" i="19"/>
  <c r="O96" i="19"/>
  <c r="M96" i="19"/>
  <c r="G96" i="19"/>
  <c r="H96" i="19" s="1"/>
  <c r="F96" i="19"/>
  <c r="D96" i="19"/>
  <c r="Q95" i="19"/>
  <c r="O95" i="19"/>
  <c r="M95" i="19"/>
  <c r="G95" i="19"/>
  <c r="H95" i="19" s="1"/>
  <c r="F95" i="19"/>
  <c r="D95" i="19"/>
  <c r="Q94" i="19"/>
  <c r="O94" i="19"/>
  <c r="M94" i="19"/>
  <c r="G94" i="19"/>
  <c r="H94" i="19" s="1"/>
  <c r="F94" i="19"/>
  <c r="D94" i="19"/>
  <c r="Q93" i="19"/>
  <c r="O93" i="19"/>
  <c r="M93" i="19"/>
  <c r="G93" i="19"/>
  <c r="H93" i="19" s="1"/>
  <c r="F93" i="19"/>
  <c r="D93" i="19"/>
  <c r="Q92" i="19"/>
  <c r="O92" i="19"/>
  <c r="M92" i="19"/>
  <c r="G92" i="19"/>
  <c r="H92" i="19" s="1"/>
  <c r="F92" i="19"/>
  <c r="D92" i="19"/>
  <c r="Q91" i="19"/>
  <c r="O91" i="19"/>
  <c r="M91" i="19"/>
  <c r="G91" i="19"/>
  <c r="H91" i="19" s="1"/>
  <c r="F91" i="19"/>
  <c r="D91" i="19"/>
  <c r="Q90" i="19"/>
  <c r="O90" i="19"/>
  <c r="M90" i="19"/>
  <c r="G90" i="19"/>
  <c r="H90" i="19" s="1"/>
  <c r="F90" i="19"/>
  <c r="D90" i="19"/>
  <c r="Q89" i="19"/>
  <c r="O89" i="19"/>
  <c r="M89" i="19"/>
  <c r="G89" i="19"/>
  <c r="H89" i="19" s="1"/>
  <c r="F89" i="19"/>
  <c r="D89" i="19"/>
  <c r="Q88" i="19"/>
  <c r="O88" i="19"/>
  <c r="M88" i="19"/>
  <c r="G88" i="19"/>
  <c r="H88" i="19" s="1"/>
  <c r="F88" i="19"/>
  <c r="D88" i="19"/>
  <c r="Q87" i="19"/>
  <c r="O87" i="19"/>
  <c r="M87" i="19"/>
  <c r="G87" i="19"/>
  <c r="H87" i="19" s="1"/>
  <c r="F87" i="19"/>
  <c r="D87" i="19"/>
  <c r="Q86" i="19"/>
  <c r="O86" i="19"/>
  <c r="M86" i="19"/>
  <c r="G86" i="19"/>
  <c r="H86" i="19" s="1"/>
  <c r="F86" i="19"/>
  <c r="D86" i="19"/>
  <c r="Q85" i="19"/>
  <c r="O85" i="19"/>
  <c r="M85" i="19"/>
  <c r="G85" i="19"/>
  <c r="H85" i="19" s="1"/>
  <c r="F85" i="19"/>
  <c r="D85" i="19"/>
  <c r="Q84" i="19"/>
  <c r="O84" i="19"/>
  <c r="M84" i="19"/>
  <c r="G84" i="19"/>
  <c r="H84" i="19" s="1"/>
  <c r="F84" i="19"/>
  <c r="D84" i="19"/>
  <c r="Q83" i="19"/>
  <c r="O83" i="19"/>
  <c r="M83" i="19"/>
  <c r="G83" i="19"/>
  <c r="H83" i="19" s="1"/>
  <c r="F83" i="19"/>
  <c r="D83" i="19"/>
  <c r="Q82" i="19"/>
  <c r="O82" i="19"/>
  <c r="M82" i="19"/>
  <c r="G82" i="19"/>
  <c r="H82" i="19" s="1"/>
  <c r="F82" i="19"/>
  <c r="D82" i="19"/>
  <c r="Q81" i="19"/>
  <c r="O81" i="19"/>
  <c r="M81" i="19"/>
  <c r="G81" i="19"/>
  <c r="H81" i="19" s="1"/>
  <c r="F81" i="19"/>
  <c r="D81" i="19"/>
  <c r="Q80" i="19"/>
  <c r="O80" i="19"/>
  <c r="M80" i="19"/>
  <c r="G80" i="19"/>
  <c r="H80" i="19" s="1"/>
  <c r="F80" i="19"/>
  <c r="D80" i="19"/>
  <c r="Q79" i="19"/>
  <c r="O79" i="19"/>
  <c r="M79" i="19"/>
  <c r="G79" i="19"/>
  <c r="H79" i="19" s="1"/>
  <c r="F79" i="19"/>
  <c r="D79" i="19"/>
  <c r="Q78" i="19"/>
  <c r="O78" i="19"/>
  <c r="M78" i="19"/>
  <c r="G78" i="19"/>
  <c r="H78" i="19" s="1"/>
  <c r="F78" i="19"/>
  <c r="D78" i="19"/>
  <c r="Q77" i="19"/>
  <c r="O77" i="19"/>
  <c r="M77" i="19"/>
  <c r="G77" i="19"/>
  <c r="H77" i="19" s="1"/>
  <c r="F77" i="19"/>
  <c r="D77" i="19"/>
  <c r="Q76" i="19"/>
  <c r="O76" i="19"/>
  <c r="M76" i="19"/>
  <c r="G76" i="19"/>
  <c r="H76" i="19" s="1"/>
  <c r="F76" i="19"/>
  <c r="D76" i="19"/>
  <c r="Q75" i="19"/>
  <c r="O75" i="19"/>
  <c r="M75" i="19"/>
  <c r="G75" i="19"/>
  <c r="H75" i="19" s="1"/>
  <c r="F75" i="19"/>
  <c r="D75" i="19"/>
  <c r="Q74" i="19"/>
  <c r="O74" i="19"/>
  <c r="M74" i="19"/>
  <c r="G74" i="19"/>
  <c r="H74" i="19" s="1"/>
  <c r="F74" i="19"/>
  <c r="D74" i="19"/>
  <c r="Q73" i="19"/>
  <c r="O73" i="19"/>
  <c r="M73" i="19"/>
  <c r="G73" i="19"/>
  <c r="H73" i="19" s="1"/>
  <c r="F73" i="19"/>
  <c r="D73" i="19"/>
  <c r="Q72" i="19"/>
  <c r="O72" i="19"/>
  <c r="M72" i="19"/>
  <c r="G72" i="19"/>
  <c r="H72" i="19" s="1"/>
  <c r="F72" i="19"/>
  <c r="D72" i="19"/>
  <c r="AT67" i="19"/>
  <c r="O43" i="19"/>
  <c r="G43" i="19"/>
  <c r="H43" i="19" s="1"/>
  <c r="F43" i="19"/>
  <c r="O42" i="19"/>
  <c r="G42" i="19"/>
  <c r="H42" i="19" s="1"/>
  <c r="F42" i="19"/>
  <c r="O41" i="19"/>
  <c r="G41" i="19"/>
  <c r="H41" i="19" s="1"/>
  <c r="F41" i="19"/>
  <c r="O40" i="19"/>
  <c r="G40" i="19"/>
  <c r="H40" i="19" s="1"/>
  <c r="F40" i="19"/>
  <c r="O39" i="19"/>
  <c r="G39" i="19"/>
  <c r="H39" i="19" s="1"/>
  <c r="F39" i="19"/>
  <c r="O38" i="19"/>
  <c r="G38" i="19"/>
  <c r="H38" i="19" s="1"/>
  <c r="F38" i="19"/>
  <c r="O37" i="19"/>
  <c r="G37" i="19"/>
  <c r="H37" i="19" s="1"/>
  <c r="F37" i="19"/>
  <c r="O36" i="19"/>
  <c r="G36" i="19"/>
  <c r="H36" i="19" s="1"/>
  <c r="F36" i="19"/>
  <c r="O35" i="19"/>
  <c r="G35" i="19"/>
  <c r="H35" i="19" s="1"/>
  <c r="F35" i="19"/>
  <c r="O34" i="19"/>
  <c r="G34" i="19"/>
  <c r="H34" i="19" s="1"/>
  <c r="F34" i="19"/>
  <c r="O33" i="19"/>
  <c r="G33" i="19"/>
  <c r="H33" i="19" s="1"/>
  <c r="F33" i="19"/>
  <c r="O32" i="19"/>
  <c r="G32" i="19"/>
  <c r="H32" i="19" s="1"/>
  <c r="F32" i="19"/>
  <c r="O31" i="19"/>
  <c r="G31" i="19"/>
  <c r="H31" i="19" s="1"/>
  <c r="F31" i="19"/>
  <c r="O30" i="19"/>
  <c r="G30" i="19"/>
  <c r="H30" i="19" s="1"/>
  <c r="F30" i="19"/>
  <c r="O29" i="19"/>
  <c r="G29" i="19"/>
  <c r="H29" i="19" s="1"/>
  <c r="F29" i="19"/>
  <c r="O28" i="19"/>
  <c r="G28" i="19"/>
  <c r="H28" i="19" s="1"/>
  <c r="F28" i="19"/>
  <c r="O27" i="19"/>
  <c r="G27" i="19"/>
  <c r="H27" i="19" s="1"/>
  <c r="F27" i="19"/>
  <c r="O26" i="19"/>
  <c r="G26" i="19"/>
  <c r="H26" i="19" s="1"/>
  <c r="F26" i="19"/>
  <c r="O25" i="19"/>
  <c r="G25" i="19"/>
  <c r="H25" i="19" s="1"/>
  <c r="F25" i="19"/>
  <c r="O24" i="19"/>
  <c r="G24" i="19"/>
  <c r="H24" i="19" s="1"/>
  <c r="F24" i="19"/>
  <c r="O23" i="19"/>
  <c r="G23" i="19"/>
  <c r="H23" i="19"/>
  <c r="F23" i="19"/>
  <c r="O22" i="19"/>
  <c r="G22" i="19"/>
  <c r="H22" i="19" s="1"/>
  <c r="F22" i="19"/>
  <c r="O21" i="19"/>
  <c r="G21" i="19"/>
  <c r="H21" i="19" s="1"/>
  <c r="F21" i="19"/>
  <c r="O20" i="19"/>
  <c r="G20" i="19"/>
  <c r="H20" i="19" s="1"/>
  <c r="F20" i="19"/>
  <c r="O19" i="19"/>
  <c r="G19" i="19"/>
  <c r="H19" i="19" s="1"/>
  <c r="F19" i="19"/>
  <c r="O18" i="19"/>
  <c r="F18" i="19"/>
  <c r="D18" i="19"/>
  <c r="AT24" i="19"/>
  <c r="AT34" i="19"/>
  <c r="AT40" i="19"/>
  <c r="AT27" i="19"/>
  <c r="AT37" i="19"/>
  <c r="AT21" i="19"/>
  <c r="AT43" i="19"/>
  <c r="AT41" i="19"/>
  <c r="AT25" i="19"/>
  <c r="AT32" i="19"/>
  <c r="AT26" i="19"/>
  <c r="AT29" i="19"/>
  <c r="AT33" i="19"/>
  <c r="AT35" i="19"/>
  <c r="AT42" i="19"/>
  <c r="AT75" i="19"/>
  <c r="AT87" i="19"/>
  <c r="AT91" i="19"/>
  <c r="AT103" i="19"/>
  <c r="AT138" i="19"/>
  <c r="AT78" i="19"/>
  <c r="AT82" i="19"/>
  <c r="AT94" i="19"/>
  <c r="AT30" i="19"/>
  <c r="AT38" i="19"/>
  <c r="AT73" i="19"/>
  <c r="AT77" i="19"/>
  <c r="AT81" i="19"/>
  <c r="AT85" i="19"/>
  <c r="AT89" i="19"/>
  <c r="AT93" i="19"/>
  <c r="AT97" i="19"/>
  <c r="AT101" i="19"/>
  <c r="AT105" i="19"/>
  <c r="AT136" i="19"/>
  <c r="AT140" i="19"/>
  <c r="AT18" i="19"/>
  <c r="AT79" i="19"/>
  <c r="AT83" i="19"/>
  <c r="AT95" i="19"/>
  <c r="AT99" i="19"/>
  <c r="AT134" i="19"/>
  <c r="AT74" i="19"/>
  <c r="AT86" i="19"/>
  <c r="AT90" i="19"/>
  <c r="AT19" i="19"/>
  <c r="AT22" i="19"/>
  <c r="AT20" i="19"/>
  <c r="AT23" i="19"/>
  <c r="AT28" i="19"/>
  <c r="AT31" i="19"/>
  <c r="AT36" i="19"/>
  <c r="AT39" i="19"/>
  <c r="AT72" i="19"/>
  <c r="AT76" i="19"/>
  <c r="AT80" i="19"/>
  <c r="AT84" i="19"/>
  <c r="AT88" i="19"/>
  <c r="AT92" i="19"/>
  <c r="AT96" i="19"/>
  <c r="AT98" i="19"/>
  <c r="AT100" i="19"/>
  <c r="AT102" i="19"/>
  <c r="AT104" i="19"/>
  <c r="AT129" i="19"/>
  <c r="AT135" i="19"/>
  <c r="AT137" i="19"/>
  <c r="AT139" i="19"/>
  <c r="AT141" i="19"/>
  <c r="AJ5" i="15"/>
  <c r="AJ6" i="15"/>
  <c r="AJ7" i="15"/>
  <c r="AJ8" i="15"/>
  <c r="AJ9" i="15"/>
  <c r="AJ10" i="15"/>
  <c r="AJ11" i="15"/>
  <c r="AJ12" i="15"/>
  <c r="AJ13" i="15"/>
  <c r="AJ14" i="15"/>
  <c r="AJ15" i="15"/>
  <c r="AJ16" i="15"/>
  <c r="AJ17" i="15"/>
  <c r="AJ18" i="15"/>
  <c r="AJ19" i="15"/>
  <c r="AJ20" i="15"/>
  <c r="AJ21" i="15"/>
  <c r="AJ22" i="15"/>
  <c r="AJ23" i="15"/>
  <c r="AJ24" i="15"/>
  <c r="AJ25" i="15"/>
  <c r="AJ26" i="15"/>
  <c r="AJ27" i="15"/>
  <c r="AJ28" i="15"/>
  <c r="AJ29" i="15"/>
  <c r="AJ30" i="15"/>
  <c r="AJ31" i="15"/>
  <c r="AJ32" i="15"/>
  <c r="AJ33" i="15"/>
  <c r="AJ34" i="15"/>
  <c r="AJ35" i="15"/>
  <c r="AJ36" i="15"/>
  <c r="AJ37" i="15"/>
  <c r="AJ38" i="15"/>
  <c r="AJ39" i="15"/>
  <c r="AJ40" i="15"/>
  <c r="AJ41" i="15"/>
  <c r="AJ42" i="15"/>
  <c r="AJ43" i="15"/>
  <c r="AJ44" i="15"/>
  <c r="AJ45" i="15"/>
  <c r="AJ46" i="15"/>
  <c r="AJ47" i="15"/>
  <c r="AJ48" i="15"/>
  <c r="AJ49" i="15"/>
  <c r="AJ50" i="15"/>
  <c r="AJ51" i="15"/>
  <c r="AJ52" i="15"/>
  <c r="AJ53" i="15"/>
  <c r="AJ54" i="15"/>
  <c r="AJ55" i="15"/>
  <c r="AJ56" i="15"/>
  <c r="AJ57" i="15"/>
  <c r="AJ58" i="15"/>
  <c r="AJ59" i="15"/>
  <c r="AJ60" i="15"/>
  <c r="AJ61" i="15"/>
  <c r="AJ62" i="15"/>
  <c r="AJ63" i="15"/>
  <c r="AJ64" i="15"/>
  <c r="AJ65" i="15"/>
  <c r="AJ66" i="15"/>
  <c r="AJ67" i="15"/>
  <c r="AJ68" i="15"/>
  <c r="AJ69" i="15"/>
  <c r="AJ73" i="15"/>
  <c r="AJ74" i="15"/>
  <c r="AJ75" i="15"/>
  <c r="AJ76" i="15"/>
  <c r="AJ77" i="15"/>
  <c r="AJ72" i="15"/>
  <c r="AJ71" i="15"/>
  <c r="D31" i="14"/>
  <c r="K31" i="14" s="1"/>
  <c r="D79" i="14" s="1"/>
  <c r="H79" i="14" s="1"/>
  <c r="I79" i="14" s="1"/>
  <c r="K28" i="14"/>
  <c r="K27" i="14"/>
  <c r="K26" i="14"/>
  <c r="K25" i="14"/>
  <c r="B17" i="13"/>
  <c r="H16" i="13"/>
  <c r="D16" i="13" s="1"/>
  <c r="G16" i="13"/>
  <c r="C16" i="13" s="1"/>
  <c r="H15" i="13"/>
  <c r="D15" i="13" s="1"/>
  <c r="G15" i="13"/>
  <c r="C15" i="13" s="1"/>
  <c r="H14" i="13"/>
  <c r="D14" i="13" s="1"/>
  <c r="G14" i="13"/>
  <c r="C14" i="13" s="1"/>
  <c r="H13" i="13"/>
  <c r="D13" i="13" s="1"/>
  <c r="G13" i="13"/>
  <c r="C13" i="13" s="1"/>
  <c r="H122" i="12"/>
  <c r="F122" i="12"/>
  <c r="E122" i="12"/>
  <c r="G121" i="12"/>
  <c r="I121" i="12" s="1"/>
  <c r="G120" i="12"/>
  <c r="I120" i="12" s="1"/>
  <c r="G119" i="12"/>
  <c r="I119" i="12" s="1"/>
  <c r="G118" i="12"/>
  <c r="I118" i="12" s="1"/>
  <c r="G117" i="12"/>
  <c r="I117" i="12" s="1"/>
  <c r="G116" i="12"/>
  <c r="I116" i="12" s="1"/>
  <c r="G115" i="12"/>
  <c r="I115" i="12" s="1"/>
  <c r="G114" i="12"/>
  <c r="I114" i="12" s="1"/>
  <c r="G113" i="12"/>
  <c r="I113" i="12" s="1"/>
  <c r="G112" i="12"/>
  <c r="I112" i="12" s="1"/>
  <c r="G111" i="12"/>
  <c r="I111" i="12" s="1"/>
  <c r="G110" i="12"/>
  <c r="I110" i="12" s="1"/>
  <c r="G109" i="12"/>
  <c r="I109" i="12" s="1"/>
  <c r="G108" i="12"/>
  <c r="I108" i="12" s="1"/>
  <c r="G107" i="12"/>
  <c r="I107" i="12" s="1"/>
  <c r="G106" i="12"/>
  <c r="I106" i="12" s="1"/>
  <c r="G105" i="12"/>
  <c r="I105" i="12" s="1"/>
  <c r="G104" i="12"/>
  <c r="I104" i="12" s="1"/>
  <c r="G103" i="12"/>
  <c r="I103" i="12" s="1"/>
  <c r="G102" i="12"/>
  <c r="I102" i="12" s="1"/>
  <c r="H79" i="12"/>
  <c r="H80" i="12" s="1"/>
  <c r="F79" i="12"/>
  <c r="E79" i="12"/>
  <c r="D79" i="12"/>
  <c r="D12" i="12" s="1"/>
  <c r="C79" i="12"/>
  <c r="B12" i="12" s="1"/>
  <c r="G67" i="12"/>
  <c r="I67" i="12" s="1"/>
  <c r="G66" i="12"/>
  <c r="I66" i="12" s="1"/>
  <c r="G65" i="12"/>
  <c r="I65" i="12"/>
  <c r="G64" i="12"/>
  <c r="I64" i="12" s="1"/>
  <c r="G63" i="12"/>
  <c r="I63" i="12" s="1"/>
  <c r="G62" i="12"/>
  <c r="I62" i="12" s="1"/>
  <c r="G61" i="12"/>
  <c r="I61" i="12" s="1"/>
  <c r="G60" i="12"/>
  <c r="I60" i="12" s="1"/>
  <c r="G59" i="12"/>
  <c r="I59" i="12" s="1"/>
  <c r="G58" i="12"/>
  <c r="I58" i="12" s="1"/>
  <c r="G57" i="12"/>
  <c r="I57" i="12"/>
  <c r="G56" i="12"/>
  <c r="I56" i="12" s="1"/>
  <c r="G55" i="12"/>
  <c r="I55" i="12" s="1"/>
  <c r="G54" i="12"/>
  <c r="I54" i="12" s="1"/>
  <c r="G53" i="12"/>
  <c r="I53" i="12" s="1"/>
  <c r="G52" i="12"/>
  <c r="I52" i="12" s="1"/>
  <c r="G51" i="12"/>
  <c r="I51" i="12" s="1"/>
  <c r="G50" i="12"/>
  <c r="I50" i="12" s="1"/>
  <c r="G49" i="12"/>
  <c r="I49" i="12" s="1"/>
  <c r="G48" i="12"/>
  <c r="I48" i="12" s="1"/>
  <c r="G47" i="12"/>
  <c r="I47" i="12" s="1"/>
  <c r="G46" i="12"/>
  <c r="I46" i="12" s="1"/>
  <c r="G45" i="12"/>
  <c r="I45" i="12" s="1"/>
  <c r="G44" i="12"/>
  <c r="I44" i="12" s="1"/>
  <c r="G43" i="12"/>
  <c r="I43" i="12" s="1"/>
  <c r="G42" i="12"/>
  <c r="I42" i="12" s="1"/>
  <c r="G41" i="12"/>
  <c r="I41" i="12" s="1"/>
  <c r="G40" i="12"/>
  <c r="I40" i="12" s="1"/>
  <c r="G39" i="12"/>
  <c r="I39" i="12" s="1"/>
  <c r="G38" i="12"/>
  <c r="I38" i="12" s="1"/>
  <c r="G37" i="12"/>
  <c r="I37" i="12" s="1"/>
  <c r="G36" i="12"/>
  <c r="I36" i="12" s="1"/>
  <c r="G35" i="12"/>
  <c r="I35" i="12" s="1"/>
  <c r="G34" i="12"/>
  <c r="I34" i="12" s="1"/>
  <c r="G33" i="12"/>
  <c r="I33" i="12" s="1"/>
  <c r="G32" i="12"/>
  <c r="I32" i="12" s="1"/>
  <c r="G31" i="12"/>
  <c r="I31" i="12" s="1"/>
  <c r="G30" i="12"/>
  <c r="I30" i="12" s="1"/>
  <c r="G29" i="12"/>
  <c r="I29" i="12" s="1"/>
  <c r="G28" i="12"/>
  <c r="I28" i="12" s="1"/>
  <c r="G27" i="12"/>
  <c r="I27" i="12" s="1"/>
  <c r="G26" i="12"/>
  <c r="I26" i="12" s="1"/>
  <c r="G25" i="12"/>
  <c r="I25" i="12" s="1"/>
  <c r="G24" i="12"/>
  <c r="I24" i="12" s="1"/>
  <c r="D100" i="10"/>
  <c r="D99" i="10"/>
  <c r="D98" i="10"/>
  <c r="D97" i="10"/>
  <c r="D96" i="10"/>
  <c r="D95" i="10"/>
  <c r="D94" i="10"/>
  <c r="D93" i="10"/>
  <c r="F72" i="10"/>
  <c r="F71" i="10"/>
  <c r="F70" i="10"/>
  <c r="F69" i="10"/>
  <c r="F22" i="10"/>
  <c r="D22" i="10"/>
  <c r="C22" i="10"/>
  <c r="A22" i="10"/>
  <c r="D122" i="12"/>
  <c r="D13" i="12" s="1"/>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26" i="5"/>
  <c r="G25" i="5"/>
  <c r="F97" i="5"/>
  <c r="D97" i="5"/>
  <c r="E82" i="5" s="1"/>
  <c r="C97" i="5"/>
  <c r="D121" i="5"/>
  <c r="C106" i="5"/>
  <c r="D119" i="5" s="1"/>
  <c r="B106" i="5"/>
  <c r="C119" i="5" s="1"/>
  <c r="G11" i="5"/>
  <c r="G12" i="5"/>
  <c r="G13" i="5"/>
  <c r="G14" i="5"/>
  <c r="G15" i="5"/>
  <c r="G16" i="5"/>
  <c r="G17" i="5"/>
  <c r="G18" i="5"/>
  <c r="G19" i="5"/>
  <c r="G20" i="5"/>
  <c r="G10" i="5"/>
  <c r="F21" i="5"/>
  <c r="D118" i="5" s="1"/>
  <c r="D21" i="5"/>
  <c r="E11" i="5" s="1"/>
  <c r="C21" i="5"/>
  <c r="C121" i="5"/>
  <c r="D18" i="3"/>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F25" i="3"/>
  <c r="E25" i="3"/>
  <c r="D25" i="3"/>
  <c r="C25" i="3"/>
  <c r="C122" i="27"/>
  <c r="B13" i="27" s="1"/>
  <c r="C122" i="12"/>
  <c r="B13" i="12" s="1"/>
  <c r="H15" i="17" l="1"/>
  <c r="D15" i="17" s="1"/>
  <c r="D73" i="14"/>
  <c r="H14" i="17"/>
  <c r="D14" i="17" s="1"/>
  <c r="J17" i="11"/>
  <c r="M21" i="11"/>
  <c r="M17" i="11" s="1"/>
  <c r="E15" i="26"/>
  <c r="BH15" i="26"/>
  <c r="T17" i="11"/>
  <c r="J79" i="14"/>
  <c r="K79" i="14" s="1"/>
  <c r="L79" i="14"/>
  <c r="N79" i="14"/>
  <c r="D76" i="14"/>
  <c r="H76" i="14" s="1"/>
  <c r="I76" i="14" s="1"/>
  <c r="AH15" i="26"/>
  <c r="BI15" i="26"/>
  <c r="B51" i="9"/>
  <c r="G21" i="5"/>
  <c r="E18" i="5"/>
  <c r="E17" i="5"/>
  <c r="C118" i="5"/>
  <c r="E118" i="5" s="1"/>
  <c r="F79" i="14"/>
  <c r="G79" i="14" s="1"/>
  <c r="O79" i="14"/>
  <c r="M79" i="14"/>
  <c r="D78" i="14"/>
  <c r="H78" i="14" s="1"/>
  <c r="I78" i="14" s="1"/>
  <c r="D77" i="14"/>
  <c r="H77" i="14" s="1"/>
  <c r="I77" i="14" s="1"/>
  <c r="D75" i="14"/>
  <c r="H75" i="14" s="1"/>
  <c r="I75" i="14" s="1"/>
  <c r="D80" i="14"/>
  <c r="H80" i="14" s="1"/>
  <c r="I80" i="14" s="1"/>
  <c r="D123" i="12"/>
  <c r="CS15" i="26"/>
  <c r="CA15" i="26"/>
  <c r="G12" i="17"/>
  <c r="C12" i="17" s="1"/>
  <c r="BZ15" i="26"/>
  <c r="I15" i="26"/>
  <c r="B25" i="3"/>
  <c r="AQ15" i="26"/>
  <c r="O15" i="26"/>
  <c r="D35" i="24"/>
  <c r="E26" i="5"/>
  <c r="AI15" i="26"/>
  <c r="AN15" i="26"/>
  <c r="CO15" i="26"/>
  <c r="BA15" i="26"/>
  <c r="B24" i="3"/>
  <c r="E30" i="3" s="1"/>
  <c r="E39" i="5"/>
  <c r="E35" i="5"/>
  <c r="H125" i="12"/>
  <c r="CI15" i="26"/>
  <c r="W15" i="26"/>
  <c r="AP15" i="26"/>
  <c r="BU15" i="26"/>
  <c r="T15" i="26"/>
  <c r="M15" i="26"/>
  <c r="E51" i="5"/>
  <c r="E79" i="5"/>
  <c r="CE15" i="26"/>
  <c r="S15" i="26"/>
  <c r="AL15" i="26"/>
  <c r="AC15" i="26"/>
  <c r="CK15" i="26"/>
  <c r="L15" i="26"/>
  <c r="E95" i="5"/>
  <c r="CP15" i="26"/>
  <c r="E12" i="5"/>
  <c r="BS15" i="26"/>
  <c r="CL15" i="26"/>
  <c r="Z15" i="26"/>
  <c r="BL15" i="26"/>
  <c r="Q15" i="26"/>
  <c r="H125" i="27"/>
  <c r="G122" i="12"/>
  <c r="G123" i="12" s="1"/>
  <c r="H12" i="17"/>
  <c r="D12" i="17" s="1"/>
  <c r="D17" i="17" s="1"/>
  <c r="G13" i="17"/>
  <c r="C13" i="17" s="1"/>
  <c r="E63" i="5"/>
  <c r="E94" i="5"/>
  <c r="E77" i="5"/>
  <c r="G97" i="5"/>
  <c r="BQ15" i="26"/>
  <c r="E13" i="5"/>
  <c r="E15" i="5"/>
  <c r="BO15" i="26"/>
  <c r="CH15" i="26"/>
  <c r="V15" i="26"/>
  <c r="X15" i="26"/>
  <c r="CF15" i="26"/>
  <c r="E12" i="27"/>
  <c r="I122" i="12"/>
  <c r="I123" i="12" s="1"/>
  <c r="BW15" i="26"/>
  <c r="AD15" i="26"/>
  <c r="AV15" i="26"/>
  <c r="E89" i="5"/>
  <c r="E13" i="12"/>
  <c r="E14" i="5"/>
  <c r="E66" i="5"/>
  <c r="D16" i="3"/>
  <c r="BK15" i="26"/>
  <c r="CD15" i="26"/>
  <c r="R15" i="26"/>
  <c r="CW15" i="26"/>
  <c r="AB15" i="26"/>
  <c r="E10" i="5"/>
  <c r="E25" i="5"/>
  <c r="AM15" i="26"/>
  <c r="BV15" i="26"/>
  <c r="CB15" i="26"/>
  <c r="U15" i="26"/>
  <c r="BD15" i="26"/>
  <c r="CC15" i="26"/>
  <c r="AE15" i="26"/>
  <c r="BN15" i="26"/>
  <c r="F15" i="26"/>
  <c r="BP15" i="26"/>
  <c r="AS15" i="26"/>
  <c r="E13" i="27"/>
  <c r="BR15" i="26"/>
  <c r="E20" i="5"/>
  <c r="E38" i="5"/>
  <c r="E50" i="5"/>
  <c r="CM15" i="26"/>
  <c r="AA15" i="26"/>
  <c r="AT15" i="26"/>
  <c r="BY15" i="26"/>
  <c r="AW15" i="26"/>
  <c r="CR15" i="26"/>
  <c r="D123" i="27"/>
  <c r="N18" i="9"/>
  <c r="G79" i="27"/>
  <c r="G80" i="27" s="1"/>
  <c r="D80" i="27"/>
  <c r="H124" i="27"/>
  <c r="Q17" i="11"/>
  <c r="R17" i="11" s="1"/>
  <c r="I122" i="27"/>
  <c r="I123" i="27" s="1"/>
  <c r="I79" i="27"/>
  <c r="I80" i="27" s="1"/>
  <c r="G14" i="17"/>
  <c r="C14" i="17" s="1"/>
  <c r="C5" i="9"/>
  <c r="E90" i="5"/>
  <c r="E62" i="5"/>
  <c r="D74" i="14"/>
  <c r="H74" i="14" s="1"/>
  <c r="I74" i="14" s="1"/>
  <c r="C17" i="13"/>
  <c r="E13" i="13" s="1"/>
  <c r="I13" i="13" s="1"/>
  <c r="H123" i="12"/>
  <c r="E46" i="5"/>
  <c r="E68" i="5"/>
  <c r="E88" i="5"/>
  <c r="E75" i="5"/>
  <c r="E78" i="5"/>
  <c r="E87" i="5"/>
  <c r="E74" i="5"/>
  <c r="D80" i="12"/>
  <c r="D17" i="3"/>
  <c r="E34" i="5"/>
  <c r="E41" i="5"/>
  <c r="E60" i="5"/>
  <c r="E56" i="5"/>
  <c r="E12" i="12"/>
  <c r="E44" i="5"/>
  <c r="E36" i="5"/>
  <c r="E31" i="5"/>
  <c r="E80" i="5"/>
  <c r="E92" i="5"/>
  <c r="E73" i="5"/>
  <c r="E54" i="5"/>
  <c r="E64" i="5"/>
  <c r="E55" i="5"/>
  <c r="E69" i="5"/>
  <c r="E81" i="5"/>
  <c r="E61" i="5"/>
  <c r="E42" i="5"/>
  <c r="E52" i="5"/>
  <c r="E83" i="5"/>
  <c r="E84" i="5"/>
  <c r="E28" i="5"/>
  <c r="E32" i="5"/>
  <c r="E59" i="5"/>
  <c r="E49" i="5"/>
  <c r="E30" i="5"/>
  <c r="E40" i="5"/>
  <c r="D17" i="13"/>
  <c r="F16" i="13" s="1"/>
  <c r="J16" i="13" s="1"/>
  <c r="G15" i="17"/>
  <c r="C15" i="17" s="1"/>
  <c r="G122" i="27"/>
  <c r="E76" i="5"/>
  <c r="E29" i="5"/>
  <c r="E48" i="5"/>
  <c r="E91" i="5"/>
  <c r="E53" i="5"/>
  <c r="E72" i="5"/>
  <c r="E65" i="5"/>
  <c r="E85" i="5"/>
  <c r="E93" i="5"/>
  <c r="BG15" i="26"/>
  <c r="K15" i="26"/>
  <c r="BJ15" i="26"/>
  <c r="N15" i="26"/>
  <c r="BX15" i="26"/>
  <c r="AZ15" i="26"/>
  <c r="CY15" i="26"/>
  <c r="AR15" i="26"/>
  <c r="E19" i="5"/>
  <c r="BC15" i="26"/>
  <c r="G15" i="26"/>
  <c r="BF15" i="26"/>
  <c r="J15" i="26"/>
  <c r="AJ15" i="26"/>
  <c r="Y15" i="26"/>
  <c r="CV15" i="26"/>
  <c r="CJ15" i="26"/>
  <c r="E16" i="5"/>
  <c r="CU15" i="26"/>
  <c r="AY15" i="26"/>
  <c r="CX15" i="26"/>
  <c r="BB15" i="26"/>
  <c r="AO15" i="26"/>
  <c r="BT15" i="26"/>
  <c r="CN15" i="26"/>
  <c r="BE15" i="26"/>
  <c r="H15" i="26"/>
  <c r="I79" i="12"/>
  <c r="I80" i="12" s="1"/>
  <c r="CQ15" i="26"/>
  <c r="AU15" i="26"/>
  <c r="CT15" i="26"/>
  <c r="AX15" i="26"/>
  <c r="AK15" i="26"/>
  <c r="AF15" i="26"/>
  <c r="BM15" i="26"/>
  <c r="P15" i="26"/>
  <c r="E120" i="5"/>
  <c r="A25" i="10"/>
  <c r="C25" i="10" s="1"/>
  <c r="T59" i="9"/>
  <c r="R57" i="9"/>
  <c r="P19" i="9"/>
  <c r="M6" i="9"/>
  <c r="Q6" i="9"/>
  <c r="S19" i="9"/>
  <c r="S16" i="9"/>
  <c r="N21" i="9"/>
  <c r="R56" i="9"/>
  <c r="L6" i="9"/>
  <c r="M19" i="9"/>
  <c r="Q50" i="9"/>
  <c r="S50" i="9"/>
  <c r="V60" i="9"/>
  <c r="N50" i="9"/>
  <c r="Q7" i="9"/>
  <c r="S20" i="9"/>
  <c r="L20" i="9"/>
  <c r="O21" i="9"/>
  <c r="L22" i="9"/>
  <c r="G31" i="24"/>
  <c r="O50" i="9"/>
  <c r="R60" i="9"/>
  <c r="L29" i="9"/>
  <c r="R15" i="9"/>
  <c r="M7" i="9"/>
  <c r="M16" i="9"/>
  <c r="M20" i="9"/>
  <c r="Q19" i="9"/>
  <c r="L21" i="9"/>
  <c r="L27" i="9"/>
  <c r="N48" i="9"/>
  <c r="M5" i="9"/>
  <c r="L28" i="9"/>
  <c r="Q16" i="9"/>
  <c r="M17" i="9"/>
  <c r="R20" i="9"/>
  <c r="N22" i="9"/>
  <c r="B6" i="17"/>
  <c r="N29" i="9"/>
  <c r="N55" i="9"/>
  <c r="P50" i="9"/>
  <c r="L11" i="9"/>
  <c r="L24" i="9"/>
  <c r="M21" i="9"/>
  <c r="O18" i="9"/>
  <c r="S17" i="9"/>
  <c r="R22" i="9"/>
  <c r="O29" i="9"/>
  <c r="L26" i="9"/>
  <c r="P22" i="9"/>
  <c r="N49" i="9"/>
  <c r="R50" i="9"/>
  <c r="X57" i="9"/>
  <c r="N57" i="9"/>
  <c r="L5" i="9"/>
  <c r="P16" i="9"/>
  <c r="L17" i="9"/>
  <c r="O17" i="9"/>
  <c r="N20" i="9"/>
  <c r="N16" i="9"/>
  <c r="C6" i="8"/>
  <c r="C91" i="8" s="1"/>
  <c r="N53" i="9"/>
  <c r="R58" i="9"/>
  <c r="T58" i="9"/>
  <c r="P7" i="9"/>
  <c r="L16" i="9"/>
  <c r="O19" i="9"/>
  <c r="R17" i="9"/>
  <c r="N19" i="9"/>
  <c r="R16" i="9"/>
  <c r="C4" i="3"/>
  <c r="T57" i="9"/>
  <c r="Q60" i="9"/>
  <c r="R59" i="9"/>
  <c r="L9" i="9"/>
  <c r="L18" i="9"/>
  <c r="P18" i="9"/>
  <c r="Q17" i="9"/>
  <c r="P51" i="9"/>
  <c r="B26" i="9"/>
  <c r="N58" i="9"/>
  <c r="L14" i="9"/>
  <c r="Q18" i="9"/>
  <c r="L19" i="9"/>
  <c r="P6" i="9"/>
  <c r="B3" i="5"/>
  <c r="O58" i="9"/>
  <c r="T60" i="9"/>
  <c r="V59" i="9"/>
  <c r="L13" i="9"/>
  <c r="M18" i="9"/>
  <c r="P17" i="9"/>
  <c r="S18" i="9"/>
  <c r="N17" i="9"/>
  <c r="X58" i="9"/>
  <c r="R19" i="9"/>
  <c r="C6" i="7"/>
  <c r="C131" i="7" s="1"/>
  <c r="Q59" i="9"/>
  <c r="M29" i="9"/>
  <c r="L7" i="9"/>
  <c r="L15" i="9"/>
  <c r="O20" i="9"/>
  <c r="R18" i="9"/>
  <c r="O16" i="9"/>
  <c r="G79" i="12"/>
  <c r="O12" i="24"/>
  <c r="E121" i="5"/>
  <c r="E119" i="5"/>
  <c r="D122" i="5"/>
  <c r="E45" i="5"/>
  <c r="E47" i="5"/>
  <c r="E96" i="5"/>
  <c r="E86" i="5"/>
  <c r="E67" i="5"/>
  <c r="E43" i="5"/>
  <c r="E37" i="5"/>
  <c r="E33" i="5"/>
  <c r="E71" i="5"/>
  <c r="E58" i="5"/>
  <c r="E27" i="5"/>
  <c r="E70" i="5"/>
  <c r="E57" i="5"/>
  <c r="C8" i="14"/>
  <c r="B7" i="19"/>
  <c r="B4" i="12"/>
  <c r="B4" i="27" s="1"/>
  <c r="C51" i="9" l="1"/>
  <c r="E150" i="12" s="1"/>
  <c r="F51" i="9"/>
  <c r="G51" i="9" s="1"/>
  <c r="I150" i="12" s="1"/>
  <c r="C122" i="5"/>
  <c r="E14" i="13"/>
  <c r="I14" i="13" s="1"/>
  <c r="J18" i="11"/>
  <c r="AB23" i="24"/>
  <c r="F14" i="17"/>
  <c r="F16" i="17"/>
  <c r="B30" i="3"/>
  <c r="E21" i="5"/>
  <c r="D150" i="12"/>
  <c r="AC23" i="24"/>
  <c r="J80" i="14"/>
  <c r="K80" i="14" s="1"/>
  <c r="N80" i="14"/>
  <c r="L80" i="14"/>
  <c r="J75" i="14"/>
  <c r="K75" i="14" s="1"/>
  <c r="L75" i="14"/>
  <c r="O75" i="14"/>
  <c r="M75" i="14"/>
  <c r="N75" i="14"/>
  <c r="N74" i="14"/>
  <c r="L74" i="14"/>
  <c r="O74" i="14"/>
  <c r="M74" i="14"/>
  <c r="J77" i="14"/>
  <c r="K77" i="14" s="1"/>
  <c r="L77" i="14"/>
  <c r="O77" i="14"/>
  <c r="M77" i="14"/>
  <c r="N77" i="14"/>
  <c r="J78" i="14"/>
  <c r="K78" i="14" s="1"/>
  <c r="L78" i="14"/>
  <c r="M78" i="14"/>
  <c r="N78" i="14"/>
  <c r="J76" i="14"/>
  <c r="K76" i="14" s="1"/>
  <c r="N76" i="14"/>
  <c r="L76" i="14"/>
  <c r="O76" i="14"/>
  <c r="M76" i="14"/>
  <c r="D58" i="9"/>
  <c r="Q58" i="9" s="1"/>
  <c r="F75" i="14"/>
  <c r="G75" i="14" s="1"/>
  <c r="C17" i="17"/>
  <c r="O80" i="14"/>
  <c r="M80" i="14"/>
  <c r="O78" i="14"/>
  <c r="J74" i="14"/>
  <c r="K74" i="14" s="1"/>
  <c r="F77" i="14"/>
  <c r="G77" i="14" s="1"/>
  <c r="F80" i="14"/>
  <c r="G80" i="14" s="1"/>
  <c r="F76" i="14"/>
  <c r="G76" i="14" s="1"/>
  <c r="F78" i="14"/>
  <c r="G78" i="14" s="1"/>
  <c r="D19" i="3"/>
  <c r="F30" i="3" s="1"/>
  <c r="B10" i="26" s="1"/>
  <c r="B11" i="26" s="1"/>
  <c r="E15" i="13"/>
  <c r="I15" i="13" s="1"/>
  <c r="E16" i="13"/>
  <c r="I16" i="13" s="1"/>
  <c r="F14" i="13"/>
  <c r="J14" i="13" s="1"/>
  <c r="F13" i="13"/>
  <c r="J13" i="13" s="1"/>
  <c r="G33" i="24"/>
  <c r="CZ83" i="26"/>
  <c r="C30" i="3"/>
  <c r="B9" i="26" s="1"/>
  <c r="B8" i="26"/>
  <c r="Q18" i="11"/>
  <c r="R18" i="11" s="1"/>
  <c r="F15" i="17"/>
  <c r="H150" i="12"/>
  <c r="K141" i="12" s="1"/>
  <c r="D59" i="9"/>
  <c r="H73" i="14"/>
  <c r="I73" i="14" s="1"/>
  <c r="N73" i="14" s="1"/>
  <c r="F73" i="14"/>
  <c r="G73" i="14" s="1"/>
  <c r="G123" i="27"/>
  <c r="G124" i="27" s="1"/>
  <c r="I124" i="27" s="1"/>
  <c r="G125" i="27"/>
  <c r="I125" i="27" s="1"/>
  <c r="H124" i="12"/>
  <c r="F15" i="13"/>
  <c r="J15" i="13" s="1"/>
  <c r="F12" i="17"/>
  <c r="F13" i="17"/>
  <c r="D81" i="14"/>
  <c r="E68" i="10"/>
  <c r="F68" i="10" s="1"/>
  <c r="N51" i="9"/>
  <c r="N59" i="9"/>
  <c r="F150" i="27"/>
  <c r="G150" i="27"/>
  <c r="O59" i="9"/>
  <c r="G125" i="12"/>
  <c r="I125" i="12" s="1"/>
  <c r="G80" i="12"/>
  <c r="O14" i="24"/>
  <c r="R13" i="24" s="1"/>
  <c r="G150" i="12"/>
  <c r="C59" i="9"/>
  <c r="E122" i="5"/>
  <c r="E97" i="5"/>
  <c r="E58" i="9" l="1"/>
  <c r="E12" i="17"/>
  <c r="E16" i="17"/>
  <c r="E14" i="17"/>
  <c r="E17" i="13"/>
  <c r="E13" i="17"/>
  <c r="E15" i="17"/>
  <c r="L73" i="14"/>
  <c r="O73" i="14"/>
  <c r="D88" i="14" s="1"/>
  <c r="M73" i="14"/>
  <c r="B7" i="26"/>
  <c r="I17" i="13"/>
  <c r="J73" i="14"/>
  <c r="K73" i="14" s="1"/>
  <c r="J17" i="13"/>
  <c r="F17" i="13"/>
  <c r="CP74" i="26"/>
  <c r="CP78" i="26" s="1"/>
  <c r="AX74" i="26"/>
  <c r="AX78" i="26" s="1"/>
  <c r="AM74" i="26"/>
  <c r="AM78" i="26" s="1"/>
  <c r="BZ74" i="26"/>
  <c r="BZ78" i="26" s="1"/>
  <c r="BB72" i="26"/>
  <c r="BR74" i="26"/>
  <c r="BR78" i="26" s="1"/>
  <c r="CO74" i="26"/>
  <c r="CO78" i="26" s="1"/>
  <c r="K74" i="26"/>
  <c r="K78" i="26" s="1"/>
  <c r="E72" i="26"/>
  <c r="CG72" i="26"/>
  <c r="Z74" i="26"/>
  <c r="Z78" i="26" s="1"/>
  <c r="AZ72" i="26"/>
  <c r="V73" i="26"/>
  <c r="V77" i="26" s="1"/>
  <c r="BJ74" i="26"/>
  <c r="BJ78" i="26" s="1"/>
  <c r="CG73" i="26"/>
  <c r="CG77" i="26" s="1"/>
  <c r="BM74" i="26"/>
  <c r="BM78" i="26" s="1"/>
  <c r="Y73" i="26"/>
  <c r="Y77" i="26" s="1"/>
  <c r="CM73" i="26"/>
  <c r="CM77" i="26" s="1"/>
  <c r="CK72" i="26"/>
  <c r="Q73" i="26"/>
  <c r="Q77" i="26" s="1"/>
  <c r="AC74" i="26"/>
  <c r="AC78" i="26" s="1"/>
  <c r="CM74" i="26"/>
  <c r="CM78" i="26" s="1"/>
  <c r="L72" i="26"/>
  <c r="AJ74" i="26"/>
  <c r="AJ78" i="26" s="1"/>
  <c r="Q74" i="26"/>
  <c r="Q78" i="26" s="1"/>
  <c r="BF74" i="26"/>
  <c r="BF78" i="26" s="1"/>
  <c r="BQ73" i="26"/>
  <c r="BQ77" i="26" s="1"/>
  <c r="AD72" i="26"/>
  <c r="U73" i="26"/>
  <c r="U77" i="26" s="1"/>
  <c r="AB74" i="26"/>
  <c r="AB78" i="26" s="1"/>
  <c r="AN72" i="26"/>
  <c r="CT72" i="26"/>
  <c r="R72" i="26"/>
  <c r="CH74" i="26"/>
  <c r="CH78" i="26" s="1"/>
  <c r="CU73" i="26"/>
  <c r="CU77" i="26" s="1"/>
  <c r="CA73" i="26"/>
  <c r="CA77" i="26" s="1"/>
  <c r="AR72" i="26"/>
  <c r="BO74" i="26"/>
  <c r="BO78" i="26" s="1"/>
  <c r="CL74" i="26"/>
  <c r="CL78" i="26" s="1"/>
  <c r="AL74" i="26"/>
  <c r="AL78" i="26" s="1"/>
  <c r="AN74" i="26"/>
  <c r="AN78" i="26" s="1"/>
  <c r="AQ73" i="26"/>
  <c r="AQ77" i="26" s="1"/>
  <c r="CI73" i="26"/>
  <c r="CI77" i="26" s="1"/>
  <c r="CJ74" i="26"/>
  <c r="CJ78" i="26" s="1"/>
  <c r="J74" i="26"/>
  <c r="J78" i="26" s="1"/>
  <c r="AD74" i="26"/>
  <c r="AD78" i="26" s="1"/>
  <c r="BK74" i="26"/>
  <c r="BK78" i="26" s="1"/>
  <c r="CD74" i="26"/>
  <c r="CD78" i="26" s="1"/>
  <c r="BH72" i="26"/>
  <c r="CB73" i="26"/>
  <c r="CB77" i="26" s="1"/>
  <c r="BC74" i="26"/>
  <c r="BC78" i="26" s="1"/>
  <c r="AJ73" i="26"/>
  <c r="AJ77" i="26" s="1"/>
  <c r="BT72" i="26"/>
  <c r="M72" i="26"/>
  <c r="Y72" i="26"/>
  <c r="AZ74" i="26"/>
  <c r="AZ78" i="26" s="1"/>
  <c r="BZ73" i="26"/>
  <c r="BZ77" i="26" s="1"/>
  <c r="BF72" i="26"/>
  <c r="AC73" i="26"/>
  <c r="AC77" i="26" s="1"/>
  <c r="AV72" i="26"/>
  <c r="CV74" i="26"/>
  <c r="CV78" i="26" s="1"/>
  <c r="BJ73" i="26"/>
  <c r="BJ77" i="26" s="1"/>
  <c r="BV72" i="26"/>
  <c r="AV73" i="26"/>
  <c r="AV77" i="26" s="1"/>
  <c r="AG72" i="26"/>
  <c r="X74" i="26"/>
  <c r="X78" i="26" s="1"/>
  <c r="AG73" i="26"/>
  <c r="AG77" i="26" s="1"/>
  <c r="AF74" i="26"/>
  <c r="AF78" i="26" s="1"/>
  <c r="AH74" i="26"/>
  <c r="AH78" i="26" s="1"/>
  <c r="U74" i="26"/>
  <c r="U78" i="26" s="1"/>
  <c r="AP72" i="26"/>
  <c r="AF73" i="26"/>
  <c r="AF77" i="26" s="1"/>
  <c r="CQ73" i="26"/>
  <c r="CQ77" i="26" s="1"/>
  <c r="BX72" i="26"/>
  <c r="AC72" i="26"/>
  <c r="AY74" i="26"/>
  <c r="AY78" i="26" s="1"/>
  <c r="R73" i="26"/>
  <c r="R77" i="26" s="1"/>
  <c r="CA74" i="26"/>
  <c r="CA78" i="26" s="1"/>
  <c r="E74" i="26"/>
  <c r="E78" i="26" s="1"/>
  <c r="W73" i="26"/>
  <c r="W77" i="26" s="1"/>
  <c r="BU74" i="26"/>
  <c r="BU78" i="26" s="1"/>
  <c r="Y74" i="26"/>
  <c r="Y78" i="26" s="1"/>
  <c r="BR73" i="26"/>
  <c r="BR77" i="26" s="1"/>
  <c r="F74" i="26"/>
  <c r="F78" i="26" s="1"/>
  <c r="I74" i="26"/>
  <c r="I78" i="26" s="1"/>
  <c r="AW74" i="26"/>
  <c r="AW78" i="26" s="1"/>
  <c r="CW74" i="26"/>
  <c r="CW78" i="26" s="1"/>
  <c r="BC73" i="26"/>
  <c r="BC77" i="26" s="1"/>
  <c r="AK73" i="26"/>
  <c r="AK77" i="26" s="1"/>
  <c r="BA72" i="26"/>
  <c r="BY73" i="26"/>
  <c r="BY77" i="26" s="1"/>
  <c r="CR73" i="26"/>
  <c r="CR77" i="26" s="1"/>
  <c r="CP72" i="26"/>
  <c r="BY74" i="26"/>
  <c r="BY78" i="26" s="1"/>
  <c r="BD72" i="26"/>
  <c r="Z72" i="26"/>
  <c r="CL72" i="26"/>
  <c r="G72" i="26"/>
  <c r="CV73" i="26"/>
  <c r="CV77" i="26" s="1"/>
  <c r="AH73" i="26"/>
  <c r="AH77" i="26" s="1"/>
  <c r="BE72" i="26"/>
  <c r="CO72" i="26"/>
  <c r="K73" i="26"/>
  <c r="K77" i="26" s="1"/>
  <c r="CV72" i="26"/>
  <c r="BM73" i="26"/>
  <c r="BM77" i="26" s="1"/>
  <c r="R74" i="26"/>
  <c r="R78" i="26" s="1"/>
  <c r="CT74" i="26"/>
  <c r="CT78" i="26" s="1"/>
  <c r="AI74" i="26"/>
  <c r="AI78" i="26" s="1"/>
  <c r="H72" i="26"/>
  <c r="CE74" i="26"/>
  <c r="CE78" i="26" s="1"/>
  <c r="AE74" i="26"/>
  <c r="AE78" i="26" s="1"/>
  <c r="BG72" i="26"/>
  <c r="T74" i="26"/>
  <c r="T78" i="26" s="1"/>
  <c r="G73" i="26"/>
  <c r="G77" i="26" s="1"/>
  <c r="BN73" i="26"/>
  <c r="BN77" i="26" s="1"/>
  <c r="AP74" i="26"/>
  <c r="AP78" i="26" s="1"/>
  <c r="BN72" i="26"/>
  <c r="CC73" i="26"/>
  <c r="CC77" i="26" s="1"/>
  <c r="CX74" i="26"/>
  <c r="CX78" i="26" s="1"/>
  <c r="AL73" i="26"/>
  <c r="AL77" i="26" s="1"/>
  <c r="BV73" i="26"/>
  <c r="BV77" i="26" s="1"/>
  <c r="T72" i="26"/>
  <c r="BH73" i="26"/>
  <c r="BH77" i="26" s="1"/>
  <c r="BL72" i="26"/>
  <c r="BW74" i="26"/>
  <c r="BW78" i="26" s="1"/>
  <c r="CG74" i="26"/>
  <c r="CG78" i="26" s="1"/>
  <c r="CI74" i="26"/>
  <c r="CI78" i="26" s="1"/>
  <c r="AX72" i="26"/>
  <c r="BC72" i="26"/>
  <c r="AK74" i="26"/>
  <c r="AK78" i="26" s="1"/>
  <c r="I73" i="26"/>
  <c r="I77" i="26" s="1"/>
  <c r="AI73" i="26"/>
  <c r="AI77" i="26" s="1"/>
  <c r="F72" i="26"/>
  <c r="CK74" i="26"/>
  <c r="CK78" i="26" s="1"/>
  <c r="X73" i="26"/>
  <c r="X77" i="26" s="1"/>
  <c r="AB73" i="26"/>
  <c r="AB77" i="26" s="1"/>
  <c r="CM72" i="26"/>
  <c r="AU72" i="26"/>
  <c r="BN74" i="26"/>
  <c r="BN78" i="26" s="1"/>
  <c r="I72" i="26"/>
  <c r="N72" i="26"/>
  <c r="CQ72" i="26"/>
  <c r="CQ74" i="26"/>
  <c r="CQ78" i="26" s="1"/>
  <c r="CH73" i="26"/>
  <c r="CH77" i="26" s="1"/>
  <c r="AS74" i="26"/>
  <c r="AS78" i="26" s="1"/>
  <c r="BI74" i="26"/>
  <c r="BI78" i="26" s="1"/>
  <c r="BF73" i="26"/>
  <c r="BF77" i="26" s="1"/>
  <c r="BD74" i="26"/>
  <c r="BD78" i="26" s="1"/>
  <c r="AO74" i="26"/>
  <c r="AO78" i="26" s="1"/>
  <c r="CK73" i="26"/>
  <c r="CK77" i="26" s="1"/>
  <c r="CW73" i="26"/>
  <c r="CW77" i="26" s="1"/>
  <c r="CY73" i="26"/>
  <c r="CY77" i="26" s="1"/>
  <c r="AM72" i="26"/>
  <c r="O74" i="26"/>
  <c r="O78" i="26" s="1"/>
  <c r="CD73" i="26"/>
  <c r="CD77" i="26" s="1"/>
  <c r="Z73" i="26"/>
  <c r="Z77" i="26" s="1"/>
  <c r="AY73" i="26"/>
  <c r="AY77" i="26" s="1"/>
  <c r="G74" i="26"/>
  <c r="G78" i="26" s="1"/>
  <c r="X72" i="26"/>
  <c r="AE72" i="26"/>
  <c r="CF72" i="26"/>
  <c r="AG74" i="26"/>
  <c r="AG78" i="26" s="1"/>
  <c r="CX73" i="26"/>
  <c r="CX77" i="26" s="1"/>
  <c r="J72" i="26"/>
  <c r="BE74" i="26"/>
  <c r="BE78" i="26" s="1"/>
  <c r="K72" i="26"/>
  <c r="BW72" i="26"/>
  <c r="BG73" i="26"/>
  <c r="BG77" i="26" s="1"/>
  <c r="AL72" i="26"/>
  <c r="AW72" i="26"/>
  <c r="AT74" i="26"/>
  <c r="AT78" i="26" s="1"/>
  <c r="BX74" i="26"/>
  <c r="BX78" i="26" s="1"/>
  <c r="CR72" i="26"/>
  <c r="CB72" i="26"/>
  <c r="AA74" i="26"/>
  <c r="AA78" i="26" s="1"/>
  <c r="BR72" i="26"/>
  <c r="AA73" i="26"/>
  <c r="AA77" i="26" s="1"/>
  <c r="AM73" i="26"/>
  <c r="AM77" i="26" s="1"/>
  <c r="CB74" i="26"/>
  <c r="CB78" i="26" s="1"/>
  <c r="O72" i="26"/>
  <c r="M73" i="26"/>
  <c r="M77" i="26" s="1"/>
  <c r="CC74" i="26"/>
  <c r="CC78" i="26" s="1"/>
  <c r="AI72" i="26"/>
  <c r="BY72" i="26"/>
  <c r="BJ72" i="26"/>
  <c r="AZ73" i="26"/>
  <c r="AZ77" i="26" s="1"/>
  <c r="BA73" i="26"/>
  <c r="BA77" i="26" s="1"/>
  <c r="W72" i="26"/>
  <c r="BS72" i="26"/>
  <c r="CW72" i="26"/>
  <c r="CY74" i="26"/>
  <c r="CY78" i="26" s="1"/>
  <c r="AV74" i="26"/>
  <c r="AV78" i="26" s="1"/>
  <c r="CL73" i="26"/>
  <c r="CL77" i="26" s="1"/>
  <c r="CE73" i="26"/>
  <c r="CE77" i="26" s="1"/>
  <c r="CS74" i="26"/>
  <c r="CS78" i="26" s="1"/>
  <c r="CX72" i="26"/>
  <c r="CJ72" i="26"/>
  <c r="CC72" i="26"/>
  <c r="Q72" i="26"/>
  <c r="AW73" i="26"/>
  <c r="AW77" i="26" s="1"/>
  <c r="AT73" i="26"/>
  <c r="AT77" i="26" s="1"/>
  <c r="N73" i="26"/>
  <c r="N77" i="26" s="1"/>
  <c r="S72" i="26"/>
  <c r="BU72" i="26"/>
  <c r="CU72" i="26"/>
  <c r="V72" i="26"/>
  <c r="CF74" i="26"/>
  <c r="CF78" i="26" s="1"/>
  <c r="F73" i="26"/>
  <c r="F77" i="26" s="1"/>
  <c r="CE72" i="26"/>
  <c r="AQ74" i="26"/>
  <c r="AQ78" i="26" s="1"/>
  <c r="AA72" i="26"/>
  <c r="AE73" i="26"/>
  <c r="AE77" i="26" s="1"/>
  <c r="AR74" i="26"/>
  <c r="AR78" i="26" s="1"/>
  <c r="H73" i="26"/>
  <c r="H77" i="26" s="1"/>
  <c r="BK73" i="26"/>
  <c r="BK77" i="26" s="1"/>
  <c r="BT74" i="26"/>
  <c r="BT78" i="26" s="1"/>
  <c r="T73" i="26"/>
  <c r="T77" i="26" s="1"/>
  <c r="L74" i="26"/>
  <c r="L78" i="26" s="1"/>
  <c r="CI72" i="26"/>
  <c r="P72" i="26"/>
  <c r="H74" i="26"/>
  <c r="H78" i="26" s="1"/>
  <c r="CH72" i="26"/>
  <c r="AX73" i="26"/>
  <c r="AX77" i="26" s="1"/>
  <c r="P74" i="26"/>
  <c r="P78" i="26" s="1"/>
  <c r="CP73" i="26"/>
  <c r="CP77" i="26" s="1"/>
  <c r="BP74" i="26"/>
  <c r="BP78" i="26" s="1"/>
  <c r="BS73" i="26"/>
  <c r="BS77" i="26" s="1"/>
  <c r="BQ72" i="26"/>
  <c r="CN72" i="26"/>
  <c r="BU73" i="26"/>
  <c r="BU77" i="26" s="1"/>
  <c r="CR74" i="26"/>
  <c r="CR78" i="26" s="1"/>
  <c r="AS73" i="26"/>
  <c r="AS77" i="26" s="1"/>
  <c r="CJ73" i="26"/>
  <c r="CJ77" i="26" s="1"/>
  <c r="AF72" i="26"/>
  <c r="BM72" i="26"/>
  <c r="CT73" i="26"/>
  <c r="CT77" i="26" s="1"/>
  <c r="BP72" i="26"/>
  <c r="AR73" i="26"/>
  <c r="AR77" i="26" s="1"/>
  <c r="AS72" i="26"/>
  <c r="J73" i="26"/>
  <c r="J77" i="26" s="1"/>
  <c r="CD72" i="26"/>
  <c r="BA74" i="26"/>
  <c r="BA78" i="26" s="1"/>
  <c r="N74" i="26"/>
  <c r="N78" i="26" s="1"/>
  <c r="AD73" i="26"/>
  <c r="AD77" i="26" s="1"/>
  <c r="CF73" i="26"/>
  <c r="CF77" i="26" s="1"/>
  <c r="L73" i="26"/>
  <c r="L77" i="26" s="1"/>
  <c r="CY72" i="26"/>
  <c r="BH74" i="26"/>
  <c r="BH78" i="26" s="1"/>
  <c r="CN74" i="26"/>
  <c r="CN78" i="26" s="1"/>
  <c r="S74" i="26"/>
  <c r="S78" i="26" s="1"/>
  <c r="AN73" i="26"/>
  <c r="AN77" i="26" s="1"/>
  <c r="BZ72" i="26"/>
  <c r="BE73" i="26"/>
  <c r="BE77" i="26" s="1"/>
  <c r="AB72" i="26"/>
  <c r="AP73" i="26"/>
  <c r="AP77" i="26" s="1"/>
  <c r="CS72" i="26"/>
  <c r="O73" i="26"/>
  <c r="O77" i="26" s="1"/>
  <c r="BX73" i="26"/>
  <c r="BX77" i="26" s="1"/>
  <c r="V74" i="26"/>
  <c r="V78" i="26" s="1"/>
  <c r="BB73" i="26"/>
  <c r="BB77" i="26" s="1"/>
  <c r="M74" i="26"/>
  <c r="M78" i="26" s="1"/>
  <c r="AU74" i="26"/>
  <c r="AU78" i="26" s="1"/>
  <c r="BV74" i="26"/>
  <c r="BV78" i="26" s="1"/>
  <c r="CA72" i="26"/>
  <c r="BO73" i="26"/>
  <c r="BO77" i="26" s="1"/>
  <c r="BI72" i="26"/>
  <c r="BB74" i="26"/>
  <c r="BB78" i="26" s="1"/>
  <c r="P73" i="26"/>
  <c r="P77" i="26" s="1"/>
  <c r="BK72" i="26"/>
  <c r="AY72" i="26"/>
  <c r="CO73" i="26"/>
  <c r="CO77" i="26" s="1"/>
  <c r="S73" i="26"/>
  <c r="S77" i="26" s="1"/>
  <c r="BS74" i="26"/>
  <c r="BS78" i="26" s="1"/>
  <c r="U72" i="26"/>
  <c r="AJ72" i="26"/>
  <c r="BG74" i="26"/>
  <c r="BG78" i="26" s="1"/>
  <c r="E73" i="26"/>
  <c r="E77" i="26" s="1"/>
  <c r="BO72" i="26"/>
  <c r="BQ74" i="26"/>
  <c r="BQ78" i="26" s="1"/>
  <c r="BT73" i="26"/>
  <c r="BT77" i="26" s="1"/>
  <c r="AU73" i="26"/>
  <c r="AU77" i="26" s="1"/>
  <c r="BI73" i="26"/>
  <c r="BI77" i="26" s="1"/>
  <c r="AQ72" i="26"/>
  <c r="AH72" i="26"/>
  <c r="BD73" i="26"/>
  <c r="BD77" i="26" s="1"/>
  <c r="BW73" i="26"/>
  <c r="BW77" i="26" s="1"/>
  <c r="CS73" i="26"/>
  <c r="CS77" i="26" s="1"/>
  <c r="AO73" i="26"/>
  <c r="AO77" i="26" s="1"/>
  <c r="CU74" i="26"/>
  <c r="CU78" i="26" s="1"/>
  <c r="W74" i="26"/>
  <c r="W78" i="26" s="1"/>
  <c r="AK72" i="26"/>
  <c r="AT72" i="26"/>
  <c r="BP73" i="26"/>
  <c r="BP77" i="26" s="1"/>
  <c r="BL74" i="26"/>
  <c r="BL78" i="26" s="1"/>
  <c r="CN73" i="26"/>
  <c r="CN77" i="26" s="1"/>
  <c r="AO72" i="26"/>
  <c r="BL73" i="26"/>
  <c r="BL77" i="26" s="1"/>
  <c r="M18" i="11"/>
  <c r="D60" i="9"/>
  <c r="I60" i="9" s="1"/>
  <c r="D150" i="27"/>
  <c r="R51" i="9"/>
  <c r="P59" i="9" s="1"/>
  <c r="L59" i="9"/>
  <c r="I59" i="9"/>
  <c r="K59" i="9"/>
  <c r="G59" i="9"/>
  <c r="G141" i="12"/>
  <c r="K142" i="12"/>
  <c r="K144" i="12" s="1"/>
  <c r="D142" i="12"/>
  <c r="F17" i="17"/>
  <c r="H17" i="17"/>
  <c r="K14" i="17" s="1"/>
  <c r="I18" i="13"/>
  <c r="G18" i="13" s="1"/>
  <c r="G142" i="12"/>
  <c r="F74" i="14"/>
  <c r="F81" i="14" s="1"/>
  <c r="G81" i="14" s="1"/>
  <c r="O51" i="9"/>
  <c r="E150" i="27" s="1"/>
  <c r="D141" i="12"/>
  <c r="G124" i="12"/>
  <c r="I124" i="12" s="1"/>
  <c r="C141" i="12"/>
  <c r="J141" i="12"/>
  <c r="F141" i="12"/>
  <c r="C142" i="12"/>
  <c r="J142" i="12"/>
  <c r="F142" i="12"/>
  <c r="W13" i="24"/>
  <c r="G14" i="24" s="1"/>
  <c r="S13" i="24"/>
  <c r="R12" i="24"/>
  <c r="L14" i="17" l="1"/>
  <c r="AC24" i="24"/>
  <c r="I25" i="24" s="1"/>
  <c r="E17" i="17"/>
  <c r="G17" i="17"/>
  <c r="K13" i="17" s="1"/>
  <c r="S51" i="9"/>
  <c r="I150" i="27" s="1"/>
  <c r="C141" i="27" s="1"/>
  <c r="CZ77" i="26"/>
  <c r="C15" i="26" s="1"/>
  <c r="W76" i="26"/>
  <c r="W79" i="26"/>
  <c r="Q76" i="26"/>
  <c r="Q79" i="26"/>
  <c r="AN76" i="26"/>
  <c r="AN79" i="26"/>
  <c r="CC79" i="26"/>
  <c r="CC76" i="26"/>
  <c r="BP79" i="26"/>
  <c r="BP76" i="26"/>
  <c r="BS79" i="26"/>
  <c r="BS76" i="26"/>
  <c r="AM76" i="26"/>
  <c r="AM79" i="26"/>
  <c r="N76" i="26"/>
  <c r="N79" i="26"/>
  <c r="BC79" i="26"/>
  <c r="BC76" i="26"/>
  <c r="BN79" i="26"/>
  <c r="BN76" i="26"/>
  <c r="CP79" i="26"/>
  <c r="CP76" i="26"/>
  <c r="R79" i="26"/>
  <c r="R76" i="26"/>
  <c r="E76" i="26"/>
  <c r="E79" i="26"/>
  <c r="AO79" i="26"/>
  <c r="AO76" i="26"/>
  <c r="CT76" i="26"/>
  <c r="CT79" i="26"/>
  <c r="BM76" i="26"/>
  <c r="BM79" i="26"/>
  <c r="CH76" i="26"/>
  <c r="CH79" i="26"/>
  <c r="BK76" i="26"/>
  <c r="BK79" i="26"/>
  <c r="CE79" i="26"/>
  <c r="CE76" i="26"/>
  <c r="CJ76" i="26"/>
  <c r="CJ79" i="26"/>
  <c r="BJ76" i="26"/>
  <c r="BJ79" i="26"/>
  <c r="CR76" i="26"/>
  <c r="CR79" i="26"/>
  <c r="CF76" i="26"/>
  <c r="CF79" i="26"/>
  <c r="CM76" i="26"/>
  <c r="CM79" i="26"/>
  <c r="BE76" i="26"/>
  <c r="BE79" i="26"/>
  <c r="AG76" i="26"/>
  <c r="AG79" i="26"/>
  <c r="BT76" i="26"/>
  <c r="BT79" i="26"/>
  <c r="BB79" i="26"/>
  <c r="BB76" i="26"/>
  <c r="J79" i="26"/>
  <c r="J76" i="26"/>
  <c r="AA76" i="26"/>
  <c r="AA79" i="26"/>
  <c r="AY76" i="26"/>
  <c r="AY79" i="26"/>
  <c r="BA76" i="26"/>
  <c r="BA79" i="26"/>
  <c r="AT76" i="26"/>
  <c r="AT79" i="26"/>
  <c r="CS79" i="26"/>
  <c r="CS76" i="26"/>
  <c r="P76" i="26"/>
  <c r="P79" i="26"/>
  <c r="CX79" i="26"/>
  <c r="CX76" i="26"/>
  <c r="BY76" i="26"/>
  <c r="BY79" i="26"/>
  <c r="AE76" i="26"/>
  <c r="AE79" i="26"/>
  <c r="BL76" i="26"/>
  <c r="BL79" i="26"/>
  <c r="BG79" i="26"/>
  <c r="BG76" i="26"/>
  <c r="AD76" i="26"/>
  <c r="AD79" i="26"/>
  <c r="I76" i="26"/>
  <c r="I79" i="26"/>
  <c r="Y76" i="26"/>
  <c r="Y79" i="26"/>
  <c r="L60" i="9"/>
  <c r="G60" i="9"/>
  <c r="AK79" i="26"/>
  <c r="AK76" i="26"/>
  <c r="CI79" i="26"/>
  <c r="CI76" i="26"/>
  <c r="AI76" i="26"/>
  <c r="AI79" i="26"/>
  <c r="X76" i="26"/>
  <c r="X79" i="26"/>
  <c r="AC76" i="26"/>
  <c r="AC79" i="26"/>
  <c r="BV79" i="26"/>
  <c r="BV76" i="26"/>
  <c r="AH76" i="26"/>
  <c r="AH79" i="26"/>
  <c r="AQ76" i="26"/>
  <c r="AQ79" i="26"/>
  <c r="AU79" i="26"/>
  <c r="AU76" i="26"/>
  <c r="CO79" i="26"/>
  <c r="CO76" i="26"/>
  <c r="M79" i="26"/>
  <c r="M76" i="26"/>
  <c r="K60" i="9"/>
  <c r="BO79" i="26"/>
  <c r="BO76" i="26"/>
  <c r="BI79" i="26"/>
  <c r="BI76" i="26"/>
  <c r="AB79" i="26"/>
  <c r="AB76" i="26"/>
  <c r="V76" i="26"/>
  <c r="V79" i="26"/>
  <c r="AW79" i="26"/>
  <c r="AW76" i="26"/>
  <c r="CZ78" i="26"/>
  <c r="C17" i="26" s="1"/>
  <c r="I29" i="24" s="1"/>
  <c r="T76" i="26"/>
  <c r="T79" i="26"/>
  <c r="G76" i="26"/>
  <c r="G79" i="26"/>
  <c r="BX76" i="26"/>
  <c r="BX79" i="26"/>
  <c r="AX76" i="26"/>
  <c r="AX79" i="26"/>
  <c r="CB79" i="26"/>
  <c r="CB76" i="26"/>
  <c r="H79" i="26"/>
  <c r="H76" i="26"/>
  <c r="CL76" i="26"/>
  <c r="CL79" i="26"/>
  <c r="BH76" i="26"/>
  <c r="BH79" i="26"/>
  <c r="AR76" i="26"/>
  <c r="AR79" i="26"/>
  <c r="CV76" i="26"/>
  <c r="CV79" i="26"/>
  <c r="CY79" i="26"/>
  <c r="CY76" i="26"/>
  <c r="BQ76" i="26"/>
  <c r="BQ79" i="26"/>
  <c r="BU79" i="26"/>
  <c r="BU76" i="26"/>
  <c r="O76" i="26"/>
  <c r="O79" i="26"/>
  <c r="Z76" i="26"/>
  <c r="Z79" i="26"/>
  <c r="AV76" i="26"/>
  <c r="AV79" i="26"/>
  <c r="AZ76" i="26"/>
  <c r="AZ79" i="26"/>
  <c r="BR79" i="26"/>
  <c r="BR76" i="26"/>
  <c r="CD79" i="26"/>
  <c r="CD76" i="26"/>
  <c r="CU76" i="26"/>
  <c r="CU79" i="26"/>
  <c r="AL79" i="26"/>
  <c r="AL76" i="26"/>
  <c r="CA76" i="26"/>
  <c r="CA79" i="26"/>
  <c r="AJ79" i="26"/>
  <c r="AJ76" i="26"/>
  <c r="AS76" i="26"/>
  <c r="AS79" i="26"/>
  <c r="S76" i="26"/>
  <c r="S79" i="26"/>
  <c r="BW76" i="26"/>
  <c r="BW79" i="26"/>
  <c r="BD79" i="26"/>
  <c r="BD76" i="26"/>
  <c r="AP76" i="26"/>
  <c r="AP79" i="26"/>
  <c r="L76" i="26"/>
  <c r="L79" i="26"/>
  <c r="CK76" i="26"/>
  <c r="CK79" i="26"/>
  <c r="AF76" i="26"/>
  <c r="AF79" i="26"/>
  <c r="CN76" i="26"/>
  <c r="CN79" i="26"/>
  <c r="F76" i="26"/>
  <c r="F79" i="26"/>
  <c r="BZ79" i="26"/>
  <c r="BZ76" i="26"/>
  <c r="U79" i="26"/>
  <c r="U76" i="26"/>
  <c r="CW76" i="26"/>
  <c r="CW79" i="26"/>
  <c r="K76" i="26"/>
  <c r="K79" i="26"/>
  <c r="CQ79" i="26"/>
  <c r="CQ76" i="26"/>
  <c r="BF79" i="26"/>
  <c r="BF76" i="26"/>
  <c r="CG76" i="26"/>
  <c r="CG79" i="26"/>
  <c r="G144" i="12"/>
  <c r="D91" i="14"/>
  <c r="D89" i="14"/>
  <c r="D92" i="14"/>
  <c r="D90" i="14"/>
  <c r="E88" i="14"/>
  <c r="E91" i="14" s="1"/>
  <c r="G74" i="14"/>
  <c r="H150" i="27"/>
  <c r="G142" i="27" s="1"/>
  <c r="P58" i="9"/>
  <c r="S59" i="9"/>
  <c r="U59" i="9"/>
  <c r="W59" i="9"/>
  <c r="X59" i="9"/>
  <c r="P60" i="9"/>
  <c r="D144" i="12"/>
  <c r="I160" i="12"/>
  <c r="Z11" i="6"/>
  <c r="Z12" i="6"/>
  <c r="X13" i="24"/>
  <c r="F144" i="12"/>
  <c r="J144" i="12"/>
  <c r="W12" i="24"/>
  <c r="S12" i="24"/>
  <c r="C144" i="12"/>
  <c r="L13" i="17" l="1"/>
  <c r="AB24" i="24"/>
  <c r="H25" i="24" s="1"/>
  <c r="J141" i="27"/>
  <c r="J142" i="27"/>
  <c r="F142" i="27"/>
  <c r="C142" i="27"/>
  <c r="C144" i="27" s="1"/>
  <c r="F141" i="27"/>
  <c r="J29" i="24"/>
  <c r="J31" i="24" s="1"/>
  <c r="B15" i="26"/>
  <c r="D101" i="14"/>
  <c r="B17" i="26"/>
  <c r="I31" i="24"/>
  <c r="CZ76" i="26"/>
  <c r="K142" i="27"/>
  <c r="D142" i="27"/>
  <c r="G141" i="27"/>
  <c r="G144" i="27" s="1"/>
  <c r="D141" i="27"/>
  <c r="E92" i="14"/>
  <c r="E90" i="14"/>
  <c r="E89" i="14"/>
  <c r="C88" i="14"/>
  <c r="K141" i="27"/>
  <c r="S60" i="9"/>
  <c r="U60" i="9"/>
  <c r="X60" i="9"/>
  <c r="W60" i="9"/>
  <c r="H157" i="12"/>
  <c r="H159" i="12"/>
  <c r="H158" i="12"/>
  <c r="J158" i="12"/>
  <c r="H160" i="12"/>
  <c r="J159" i="12"/>
  <c r="J157" i="12"/>
  <c r="Z9" i="6"/>
  <c r="X12" i="24"/>
  <c r="X16" i="24" s="1"/>
  <c r="W14" i="24"/>
  <c r="Z10" i="6"/>
  <c r="G12" i="24" s="1"/>
  <c r="I159" i="12"/>
  <c r="I158" i="12"/>
  <c r="I157" i="12"/>
  <c r="L27" i="24" l="1"/>
  <c r="K25" i="24"/>
  <c r="F144" i="27"/>
  <c r="I157" i="27" s="1"/>
  <c r="J144" i="27"/>
  <c r="J159" i="27" s="1"/>
  <c r="J35" i="24"/>
  <c r="J36" i="24" s="1"/>
  <c r="J33" i="24"/>
  <c r="E101" i="14"/>
  <c r="I33" i="24"/>
  <c r="C16" i="26"/>
  <c r="CZ79" i="26"/>
  <c r="G18" i="24"/>
  <c r="K144" i="27"/>
  <c r="I160" i="27" s="1"/>
  <c r="D144" i="27"/>
  <c r="D102" i="14"/>
  <c r="C92" i="14"/>
  <c r="C89" i="14"/>
  <c r="C91" i="14"/>
  <c r="C90" i="14"/>
  <c r="H158" i="27"/>
  <c r="H159" i="27"/>
  <c r="H157" i="27"/>
  <c r="G163" i="12"/>
  <c r="I158" i="27" l="1"/>
  <c r="I159" i="27"/>
  <c r="H29" i="24"/>
  <c r="L30" i="24" s="1"/>
  <c r="H160" i="27"/>
  <c r="J157" i="27"/>
  <c r="G163" i="27" s="1"/>
  <c r="H163" i="27" s="1"/>
  <c r="T13" i="24" s="1"/>
  <c r="U13" i="24" s="1"/>
  <c r="V13" i="24" s="1"/>
  <c r="J158" i="27"/>
  <c r="H19" i="24"/>
  <c r="L20" i="24" s="1"/>
  <c r="B16" i="26"/>
  <c r="C18" i="26"/>
  <c r="H163" i="12"/>
  <c r="L13" i="24"/>
  <c r="E102" i="14"/>
  <c r="G101" i="14"/>
  <c r="L15" i="24" l="1"/>
  <c r="H14" i="24"/>
  <c r="K14" i="24" s="1"/>
  <c r="H12" i="24"/>
  <c r="H16" i="24" s="1"/>
  <c r="H31" i="24"/>
  <c r="L32" i="24" s="1"/>
  <c r="H164" i="27"/>
  <c r="K19" i="24"/>
  <c r="H21" i="24"/>
  <c r="L22" i="24" s="1"/>
  <c r="B20" i="26"/>
  <c r="B18" i="26"/>
  <c r="K29" i="24"/>
  <c r="K31" i="24" s="1"/>
  <c r="H164" i="12"/>
  <c r="T12" i="24"/>
  <c r="U12" i="24" s="1"/>
  <c r="V12" i="24" s="1"/>
  <c r="G102" i="14"/>
  <c r="H18" i="24" l="1"/>
  <c r="I16" i="24"/>
  <c r="I18" i="24" s="1"/>
  <c r="I35" i="24" s="1"/>
  <c r="I36" i="24" s="1"/>
  <c r="K12" i="24"/>
  <c r="K21" i="24"/>
  <c r="K23" i="24" s="1"/>
  <c r="K33" i="24" s="1"/>
  <c r="H23" i="24"/>
  <c r="L24" i="24" s="1"/>
  <c r="L17" i="24" l="1"/>
  <c r="K16" i="24"/>
  <c r="K18" i="24" s="1"/>
  <c r="K35" i="24" s="1"/>
  <c r="E37" i="24" s="1"/>
  <c r="H37" i="24" s="1"/>
  <c r="H35" i="24"/>
  <c r="H33" i="24"/>
  <c r="L34" i="24" s="1"/>
  <c r="H36"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Jaison Julio López</author>
    <author>Admin</author>
  </authors>
  <commentList>
    <comment ref="D4" authorId="0" shapeId="0" xr:uid="{00000000-0006-0000-0300-000001000000}">
      <text>
        <r>
          <rPr>
            <b/>
            <sz val="9"/>
            <color indexed="81"/>
            <rFont val="Tahoma"/>
            <family val="2"/>
          </rPr>
          <t>Esta sección se alimenta automáticamente al diligenciar lo establecido en celda D5</t>
        </r>
      </text>
    </comment>
    <comment ref="D5" authorId="0" shapeId="0" xr:uid="{00000000-0006-0000-0300-000002000000}">
      <text>
        <r>
          <rPr>
            <b/>
            <sz val="9"/>
            <color indexed="81"/>
            <rFont val="Tahoma"/>
            <family val="2"/>
          </rPr>
          <t>Seleccione de la lista el Sujeto de Control Fiscal a auditar:</t>
        </r>
      </text>
    </comment>
    <comment ref="K5" authorId="0" shapeId="0" xr:uid="{00000000-0006-0000-0300-000003000000}">
      <text>
        <r>
          <rPr>
            <b/>
            <sz val="9"/>
            <color indexed="81"/>
            <rFont val="Tahoma"/>
            <family val="2"/>
          </rPr>
          <t>Por Favor digite el año de la vigencia a auditar</t>
        </r>
      </text>
    </comment>
    <comment ref="D6" authorId="0" shapeId="0" xr:uid="{00000000-0006-0000-0300-000004000000}">
      <text>
        <r>
          <rPr>
            <b/>
            <sz val="9"/>
            <color indexed="81"/>
            <rFont val="Tahoma"/>
            <family val="2"/>
          </rPr>
          <t>Por favor digite el PDVCF</t>
        </r>
      </text>
    </comment>
    <comment ref="K6" authorId="0" shapeId="0" xr:uid="{00000000-0006-0000-0300-000005000000}">
      <text>
        <r>
          <rPr>
            <b/>
            <sz val="9"/>
            <color indexed="81"/>
            <rFont val="Tahoma"/>
            <family val="2"/>
          </rPr>
          <t>Por Favor digite el código de la Auditoría</t>
        </r>
      </text>
    </comment>
    <comment ref="D7" authorId="0" shapeId="0" xr:uid="{00000000-0006-0000-0300-000006000000}">
      <text>
        <r>
          <rPr>
            <b/>
            <sz val="9"/>
            <color indexed="81"/>
            <rFont val="Tahoma"/>
            <family val="2"/>
          </rPr>
          <t>Por Favor digite la fecha de elaboración</t>
        </r>
      </text>
    </comment>
    <comment ref="K7" authorId="0" shapeId="0" xr:uid="{00000000-0006-0000-0300-000007000000}">
      <text>
        <r>
          <rPr>
            <b/>
            <sz val="9"/>
            <color indexed="81"/>
            <rFont val="Tahoma"/>
            <family val="2"/>
          </rPr>
          <t>Por Favor digite la fecha de revisión por parte del lider</t>
        </r>
      </text>
    </comment>
    <comment ref="H39" authorId="1" shapeId="0" xr:uid="{00000000-0006-0000-0300-000008000000}">
      <text>
        <r>
          <rPr>
            <b/>
            <sz val="9"/>
            <color indexed="81"/>
            <rFont val="Tahoma"/>
            <family val="2"/>
          </rPr>
          <t xml:space="preserve">Favor digitar el valor correspondiente a la calificación del Control Fiscal Interno proveniente del Instrumento de Riesgos y Controles.
</t>
        </r>
      </text>
    </comment>
    <comment ref="H41" authorId="1" shapeId="0" xr:uid="{00000000-0006-0000-0300-000009000000}">
      <text>
        <r>
          <rPr>
            <sz val="9"/>
            <color indexed="81"/>
            <rFont val="Tahoma"/>
            <family val="2"/>
          </rPr>
          <t>Favor digitar el valor correspondiente a la calificación del Control Interno Contable proveniente del Instrumento de Riesgos y Controles.</t>
        </r>
      </text>
    </comment>
    <comment ref="K41" authorId="0" shapeId="0" xr:uid="{00000000-0006-0000-0300-00000A000000}">
      <text>
        <r>
          <rPr>
            <b/>
            <sz val="9"/>
            <color indexed="81"/>
            <rFont val="Tahoma"/>
            <family val="2"/>
          </rPr>
          <t>La información de estas celdas solo se habilita para el caso de FONCEP o Transmilenio S.A.</t>
        </r>
      </text>
    </comment>
    <comment ref="H43" authorId="1" shapeId="0" xr:uid="{00000000-0006-0000-0300-00000B000000}">
      <text>
        <r>
          <rPr>
            <b/>
            <sz val="9"/>
            <color indexed="81"/>
            <rFont val="Tahoma"/>
            <family val="2"/>
          </rPr>
          <t>Favor digitar el valor correspondiente a la calificación del principio de Eficacia del Plan de Mejoramiento.</t>
        </r>
      </text>
    </comment>
    <comment ref="I43" authorId="1" shapeId="0" xr:uid="{00000000-0006-0000-0300-00000C000000}">
      <text>
        <r>
          <rPr>
            <b/>
            <sz val="9"/>
            <color indexed="81"/>
            <rFont val="Tahoma"/>
            <family val="2"/>
          </rPr>
          <t>Favor digitar el valor correspondiente a la calificación del principio de Efectividad del Plan de Mejoramiento.</t>
        </r>
      </text>
    </comment>
    <comment ref="K43" authorId="0" shapeId="0" xr:uid="{00000000-0006-0000-0300-00000D000000}">
      <text>
        <r>
          <rPr>
            <b/>
            <sz val="9"/>
            <color indexed="81"/>
            <rFont val="Tahoma"/>
            <family val="2"/>
          </rPr>
          <t>Favor digitar el valor correspondiente a la calificación del Control Interno Contable del FPPB o SITP proveniente del Instrumento de Riesgos y Controles. 
Si es para otro sujeto de control: No Aplica.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contrabog</author>
  </authors>
  <commentList>
    <comment ref="B11" authorId="0" shapeId="0" xr:uid="{00000000-0006-0000-0400-000001000000}">
      <text>
        <r>
          <rPr>
            <b/>
            <sz val="9"/>
            <color indexed="81"/>
            <rFont val="Tahoma"/>
            <family val="2"/>
          </rPr>
          <t>contrabog:</t>
        </r>
        <r>
          <rPr>
            <sz val="9"/>
            <color indexed="81"/>
            <rFont val="Tahoma"/>
            <family val="2"/>
          </rPr>
          <t xml:space="preserve">
Diligenciar de conformidad con el nivel de desagregación que el auditor considere</t>
        </r>
      </text>
    </comment>
    <comment ref="C11" authorId="0" shapeId="0" xr:uid="{00000000-0006-0000-0400-000002000000}">
      <text>
        <r>
          <rPr>
            <b/>
            <sz val="9"/>
            <color indexed="81"/>
            <rFont val="Tahoma"/>
            <family val="2"/>
          </rPr>
          <t>contrabog:</t>
        </r>
        <r>
          <rPr>
            <sz val="9"/>
            <color indexed="81"/>
            <rFont val="Tahoma"/>
            <family val="2"/>
          </rPr>
          <t xml:space="preserve">
En caso que no cuente con los saldos a dic 31, deberá tomar los más próximos  a esa fecha y luego actualizarlo</t>
        </r>
      </text>
    </comment>
    <comment ref="R11" authorId="0" shapeId="0" xr:uid="{00000000-0006-0000-0400-000003000000}">
      <text>
        <r>
          <rPr>
            <b/>
            <sz val="9"/>
            <color rgb="FF000000"/>
            <rFont val="Tahoma"/>
            <family val="2"/>
          </rPr>
          <t>contrabog:</t>
        </r>
        <r>
          <rPr>
            <sz val="9"/>
            <color rgb="FF000000"/>
            <rFont val="Tahoma"/>
            <family val="2"/>
          </rPr>
          <t xml:space="preserve">
</t>
        </r>
        <r>
          <rPr>
            <sz val="9"/>
            <color rgb="FF000000"/>
            <rFont val="Tahoma"/>
            <family val="2"/>
          </rPr>
          <t xml:space="preserve">Traiga a esta celda el valor ($) 
</t>
        </r>
        <r>
          <rPr>
            <sz val="9"/>
            <color rgb="FF000000"/>
            <rFont val="Tahoma"/>
            <family val="2"/>
          </rPr>
          <t>tomado com muestra</t>
        </r>
      </text>
    </comment>
    <comment ref="B136" authorId="0" shapeId="0" xr:uid="{00000000-0006-0000-0400-000004000000}">
      <text>
        <r>
          <rPr>
            <b/>
            <sz val="9"/>
            <color indexed="81"/>
            <rFont val="Tahoma"/>
            <family val="2"/>
          </rPr>
          <t>contrabog:</t>
        </r>
        <r>
          <rPr>
            <sz val="9"/>
            <color indexed="81"/>
            <rFont val="Tahoma"/>
            <family val="2"/>
          </rPr>
          <t xml:space="preserve">
Diligenciar de conformidad con el nivel de desagregación que el auditor considere</t>
        </r>
      </text>
    </comment>
    <comment ref="C136" authorId="0" shapeId="0" xr:uid="{00000000-0006-0000-0400-000005000000}">
      <text>
        <r>
          <rPr>
            <b/>
            <sz val="9"/>
            <color indexed="81"/>
            <rFont val="Tahoma"/>
            <family val="2"/>
          </rPr>
          <t>contrabog:</t>
        </r>
        <r>
          <rPr>
            <sz val="9"/>
            <color indexed="81"/>
            <rFont val="Tahoma"/>
            <family val="2"/>
          </rPr>
          <t xml:space="preserve">
En caso que no cuente con los saldos a dic 31, deberá tomar los más próximos  a esa fecha y luego actualizarlo</t>
        </r>
      </text>
    </comment>
    <comment ref="R136" authorId="0" shapeId="0" xr:uid="{00000000-0006-0000-0400-000006000000}">
      <text>
        <r>
          <rPr>
            <b/>
            <sz val="9"/>
            <color rgb="FF000000"/>
            <rFont val="Tahoma"/>
            <family val="2"/>
          </rPr>
          <t>contrabog:</t>
        </r>
        <r>
          <rPr>
            <sz val="9"/>
            <color rgb="FF000000"/>
            <rFont val="Tahoma"/>
            <family val="2"/>
          </rPr>
          <t xml:space="preserve">
</t>
        </r>
        <r>
          <rPr>
            <sz val="9"/>
            <color rgb="FF000000"/>
            <rFont val="Tahoma"/>
            <family val="2"/>
          </rPr>
          <t xml:space="preserve">Traiga a esta celda el valor ($) 
</t>
        </r>
        <r>
          <rPr>
            <sz val="9"/>
            <color rgb="FF000000"/>
            <rFont val="Tahoma"/>
            <family val="2"/>
          </rPr>
          <t>tomado com muestra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Jaison Julio López</author>
  </authors>
  <commentList>
    <comment ref="E51" authorId="0" shapeId="0" xr:uid="{00000000-0006-0000-0600-000001000000}">
      <text>
        <r>
          <rPr>
            <b/>
            <sz val="9"/>
            <color indexed="81"/>
            <rFont val="Tahoma"/>
            <family val="2"/>
          </rPr>
          <t>Favor digitar el valor correspondiente al total de los activos.</t>
        </r>
      </text>
    </comment>
    <comment ref="Q51" authorId="1" shapeId="0" xr:uid="{00000000-0006-0000-0600-000002000000}">
      <text>
        <r>
          <rPr>
            <b/>
            <sz val="9"/>
            <color indexed="81"/>
            <rFont val="Tahoma"/>
            <family val="2"/>
          </rPr>
          <t>Favor digitar el valor correspondiente al total de los activos del SITP o FPPB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11" authorId="0" shapeId="0" xr:uid="{00000000-0006-0000-0700-000001000000}">
      <text>
        <r>
          <rPr>
            <b/>
            <sz val="9"/>
            <color indexed="81"/>
            <rFont val="Tahoma"/>
            <family val="2"/>
          </rPr>
          <t xml:space="preserve">Datos de Columna con cálculos automáticos.    </t>
        </r>
      </text>
    </comment>
    <comment ref="B12" authorId="0" shapeId="0" xr:uid="{00000000-0006-0000-0700-000002000000}">
      <text>
        <r>
          <rPr>
            <b/>
            <sz val="9"/>
            <color indexed="81"/>
            <rFont val="Tahoma"/>
            <family val="2"/>
          </rPr>
          <t xml:space="preserve">Cálculos automáticos. </t>
        </r>
      </text>
    </comment>
    <comment ref="C12" authorId="0" shapeId="0" xr:uid="{00000000-0006-0000-0700-000003000000}">
      <text>
        <r>
          <rPr>
            <b/>
            <sz val="9"/>
            <color indexed="81"/>
            <rFont val="Tahoma"/>
            <family val="2"/>
          </rPr>
          <t xml:space="preserve">Cálculos automáticos. </t>
        </r>
      </text>
    </comment>
    <comment ref="D12" authorId="0" shapeId="0" xr:uid="{00000000-0006-0000-0700-000004000000}">
      <text>
        <r>
          <rPr>
            <b/>
            <sz val="9"/>
            <color indexed="81"/>
            <rFont val="Tahoma"/>
            <family val="2"/>
          </rPr>
          <t xml:space="preserve">Cálculos automáticos. </t>
        </r>
      </text>
    </comment>
    <comment ref="B13" authorId="0" shapeId="0" xr:uid="{00000000-0006-0000-0700-000005000000}">
      <text>
        <r>
          <rPr>
            <b/>
            <sz val="9"/>
            <color indexed="81"/>
            <rFont val="Tahoma"/>
            <family val="2"/>
          </rPr>
          <t xml:space="preserve">Cálculos automáticos. </t>
        </r>
      </text>
    </comment>
    <comment ref="C13" authorId="0" shapeId="0" xr:uid="{00000000-0006-0000-0700-000006000000}">
      <text>
        <r>
          <rPr>
            <b/>
            <sz val="9"/>
            <color indexed="81"/>
            <rFont val="Tahoma"/>
            <family val="2"/>
          </rPr>
          <t xml:space="preserve">Cálculos automáticos. </t>
        </r>
      </text>
    </comment>
    <comment ref="D13" authorId="0" shapeId="0" xr:uid="{00000000-0006-0000-0700-000007000000}">
      <text>
        <r>
          <rPr>
            <b/>
            <sz val="9"/>
            <color indexed="81"/>
            <rFont val="Tahoma"/>
            <family val="2"/>
          </rPr>
          <t xml:space="preserve">Cálculos automáticos. </t>
        </r>
      </text>
    </comment>
    <comment ref="B14" authorId="0" shapeId="0" xr:uid="{00000000-0006-0000-0700-000008000000}">
      <text>
        <r>
          <rPr>
            <b/>
            <sz val="9"/>
            <color indexed="81"/>
            <rFont val="Tahoma"/>
            <family val="2"/>
          </rPr>
          <t>Favor digite el valor correspondiente al total de los ingresos</t>
        </r>
      </text>
    </comment>
    <comment ref="D14" authorId="0" shapeId="0" xr:uid="{00000000-0006-0000-0700-000009000000}">
      <text>
        <r>
          <rPr>
            <b/>
            <sz val="9"/>
            <color indexed="81"/>
            <rFont val="Tahoma"/>
            <family val="2"/>
          </rPr>
          <t>Favor digite el valor de a muestra a auditar correspondiente a los ingresos</t>
        </r>
      </text>
    </comment>
    <comment ref="B15" authorId="0" shapeId="0" xr:uid="{00000000-0006-0000-0700-00000A000000}">
      <text>
        <r>
          <rPr>
            <b/>
            <sz val="9"/>
            <color indexed="81"/>
            <rFont val="Tahoma"/>
            <family val="2"/>
          </rPr>
          <t>Favor digite el valor correspondiente al total de los gastos</t>
        </r>
      </text>
    </comment>
    <comment ref="D15" authorId="0" shapeId="0" xr:uid="{00000000-0006-0000-0700-00000B000000}">
      <text>
        <r>
          <rPr>
            <b/>
            <sz val="9"/>
            <color indexed="81"/>
            <rFont val="Tahoma"/>
            <family val="2"/>
          </rPr>
          <t>Favor digite el valor de a muestra a auditar correspondiente a los gastos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Omar Eduardo</author>
  </authors>
  <commentList>
    <comment ref="I18" authorId="0" shapeId="0" xr:uid="{00000000-0006-0000-0900-000001000000}">
      <text>
        <r>
          <rPr>
            <sz val="9"/>
            <color indexed="81"/>
            <rFont val="Tahoma"/>
            <family val="2"/>
          </rPr>
          <t>Efectividad=((Puntaje de eficiencia+Puntuaje de eficacia)/2)/. El porcentaje resultante reflejará el grado de efectividad del desempeño auditado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Blanca Esmeralda Martin Moreno (CGR)</author>
    <author>FRANCISCO</author>
    <author>USER</author>
    <author>Admin</author>
    <author>Francisco H Bejarano Caceres</author>
  </authors>
  <commentList>
    <comment ref="A18" authorId="0" shapeId="0" xr:uid="{00000000-0006-0000-0B00-000001000000}">
      <text>
        <r>
          <rPr>
            <b/>
            <sz val="9"/>
            <color rgb="FF000000"/>
            <rFont val="Tahoma"/>
            <family val="2"/>
          </rPr>
          <t>Seleccione de las listas desplegables la opción que corresponda.</t>
        </r>
      </text>
    </comment>
    <comment ref="D25" authorId="1" shapeId="0" xr:uid="{00000000-0006-0000-0B00-000002000000}">
      <text>
        <r>
          <rPr>
            <b/>
            <sz val="9"/>
            <color rgb="FF000000"/>
            <rFont val="Tahoma"/>
            <family val="2"/>
          </rPr>
          <t>I</t>
        </r>
        <r>
          <rPr>
            <sz val="9"/>
            <color rgb="FF000000"/>
            <rFont val="Tahoma"/>
            <family val="2"/>
          </rPr>
          <t xml:space="preserve">ngrese manualmente el porcentaje seleccionado. Debe coincidir con el rango de porcentaje calculado
</t>
        </r>
      </text>
    </comment>
    <comment ref="B34" authorId="2" shapeId="0" xr:uid="{00000000-0006-0000-0B00-000003000000}">
      <text>
        <r>
          <rPr>
            <sz val="9"/>
            <color indexed="81"/>
            <rFont val="Tahoma"/>
            <family val="2"/>
          </rPr>
          <t>Favor digitar el valor correspondiente al presupuesto total de ingresos asignado solo si aplica</t>
        </r>
      </text>
    </comment>
    <comment ref="B35" authorId="2" shapeId="0" xr:uid="{00000000-0006-0000-0B00-000004000000}">
      <text>
        <r>
          <rPr>
            <b/>
            <sz val="9"/>
            <color indexed="81"/>
            <rFont val="Tahoma"/>
            <family val="2"/>
          </rPr>
          <t>El contenido de esta celda es automático, el auditor no debe diligenciarla, celda formulada</t>
        </r>
      </text>
    </comment>
    <comment ref="B36" authorId="2" shapeId="0" xr:uid="{00000000-0006-0000-0B00-000005000000}">
      <text>
        <r>
          <rPr>
            <b/>
            <sz val="9"/>
            <color indexed="81"/>
            <rFont val="Tahoma"/>
            <family val="2"/>
          </rPr>
          <t>El contenido de esta celda es automático, el auditor no debe diligenciarla, celda formulada</t>
        </r>
      </text>
    </comment>
    <comment ref="B39" authorId="2" shapeId="0" xr:uid="{00000000-0006-0000-0B00-000006000000}">
      <text>
        <r>
          <rPr>
            <sz val="9"/>
            <color indexed="81"/>
            <rFont val="Tahoma"/>
            <family val="2"/>
          </rPr>
          <t>Favor digitar el valor correspondiente al presupuesto total de ingresos asignado si aplica</t>
        </r>
      </text>
    </comment>
    <comment ref="B40" authorId="2" shapeId="0" xr:uid="{00000000-0006-0000-0B00-000007000000}">
      <text>
        <r>
          <rPr>
            <b/>
            <sz val="9"/>
            <color indexed="81"/>
            <rFont val="Tahoma"/>
            <family val="2"/>
          </rPr>
          <t>El contenido de esta celda es automático, el auditor no debe diligenciarla, celda formulada</t>
        </r>
      </text>
    </comment>
    <comment ref="B41" authorId="2" shapeId="0" xr:uid="{00000000-0006-0000-0B00-000008000000}">
      <text>
        <r>
          <rPr>
            <b/>
            <sz val="9"/>
            <color indexed="81"/>
            <rFont val="Tahoma"/>
            <family val="2"/>
          </rPr>
          <t>El contenido de esta celda es automático, el auditor no debe diligenciarla, celda formulada</t>
        </r>
      </text>
    </comment>
    <comment ref="B44" authorId="3" shapeId="0" xr:uid="{00000000-0006-0000-0B00-000009000000}">
      <text>
        <r>
          <rPr>
            <b/>
            <sz val="9"/>
            <color indexed="81"/>
            <rFont val="Tahoma"/>
            <family val="2"/>
          </rPr>
          <t>Favor digitar el valor total correspondiente a estos rubros presupuetales, solo si aplican y seran auditados</t>
        </r>
        <r>
          <rPr>
            <sz val="9"/>
            <color indexed="81"/>
            <rFont val="Tahoma"/>
            <family val="2"/>
          </rPr>
          <t xml:space="preserve">
</t>
        </r>
      </text>
    </comment>
    <comment ref="C44" authorId="2" shapeId="0" xr:uid="{00000000-0006-0000-0B00-00000A000000}">
      <text>
        <r>
          <rPr>
            <sz val="9"/>
            <color indexed="81"/>
            <rFont val="Tahoma"/>
            <family val="2"/>
          </rPr>
          <t>El contenido de estas celdas es automático, el auditor no debe diligenciarlas, celdas formuladas</t>
        </r>
      </text>
    </comment>
    <comment ref="B45" authorId="2" shapeId="0" xr:uid="{00000000-0006-0000-0B00-00000B000000}">
      <text>
        <r>
          <rPr>
            <sz val="9"/>
            <color indexed="81"/>
            <rFont val="Tahoma"/>
            <family val="2"/>
          </rPr>
          <t>Favor digitar el valor total correspondiente a este rubro presupuetal solo si aplica</t>
        </r>
      </text>
    </comment>
    <comment ref="B46" authorId="2" shapeId="0" xr:uid="{00000000-0006-0000-0B00-00000C000000}">
      <text>
        <r>
          <rPr>
            <b/>
            <sz val="9"/>
            <color indexed="81"/>
            <rFont val="Tahoma"/>
            <family val="2"/>
          </rPr>
          <t>Favor digitar el valor total correspondiente a este rubro presupuetal solo si aplica</t>
        </r>
      </text>
    </comment>
    <comment ref="B47" authorId="2" shapeId="0" xr:uid="{00000000-0006-0000-0B00-00000D000000}">
      <text>
        <r>
          <rPr>
            <b/>
            <sz val="9"/>
            <color indexed="81"/>
            <rFont val="Tahoma"/>
            <family val="2"/>
          </rPr>
          <t>Favor digitar el valor total correspondiente a este rubro presupuetal solo si aplica</t>
        </r>
      </text>
    </comment>
    <comment ref="B48" authorId="2" shapeId="0" xr:uid="{00000000-0006-0000-0B00-00000E000000}">
      <text>
        <r>
          <rPr>
            <b/>
            <sz val="9"/>
            <color indexed="81"/>
            <rFont val="Tahoma"/>
            <family val="2"/>
          </rPr>
          <t>Favor digitar el valor total correspondiente a este rubro presupuetal solo si aplica</t>
        </r>
      </text>
    </comment>
    <comment ref="B49" authorId="2" shapeId="0" xr:uid="{00000000-0006-0000-0B00-00000F000000}">
      <text>
        <r>
          <rPr>
            <b/>
            <sz val="9"/>
            <color indexed="81"/>
            <rFont val="Tahoma"/>
            <family val="2"/>
          </rPr>
          <t>Favor digitar el valor total correspondiente a este rubro presupuetal solo si aplica</t>
        </r>
      </text>
    </comment>
    <comment ref="B50" authorId="2" shapeId="0" xr:uid="{00000000-0006-0000-0B00-000010000000}">
      <text>
        <r>
          <rPr>
            <b/>
            <sz val="9"/>
            <color indexed="81"/>
            <rFont val="Tahoma"/>
            <family val="2"/>
          </rPr>
          <t>Favor digitar el valor total correspondiente a este rubro presupuetal solo si aplica</t>
        </r>
      </text>
    </comment>
    <comment ref="A59" authorId="0" shapeId="0" xr:uid="{00000000-0006-0000-0B00-000011000000}">
      <text>
        <r>
          <rPr>
            <b/>
            <sz val="9"/>
            <color indexed="81"/>
            <rFont val="Tahoma"/>
            <family val="2"/>
          </rPr>
          <t>Escriba las razones por las cuales, según su juicio profesional, seleccionó el % y en caso de que se haya seleccionado con otro criterio diferente a los sugeridos, justifique.</t>
        </r>
      </text>
    </comment>
    <comment ref="A60" authorId="0" shapeId="0" xr:uid="{00000000-0006-0000-0B00-000012000000}">
      <text>
        <r>
          <rPr>
            <b/>
            <sz val="9"/>
            <color rgb="FF000000"/>
            <rFont val="Tahoma"/>
            <family val="2"/>
          </rPr>
          <t xml:space="preserve">Escriba las razones por las cuales, según su juicio profesional, seleccionó el porcentaje
</t>
        </r>
        <r>
          <rPr>
            <b/>
            <sz val="9"/>
            <color rgb="FF000000"/>
            <rFont val="Tahoma"/>
            <family val="2"/>
          </rPr>
          <t xml:space="preserve"> y en caso de que el porcentaje se haya seleccionado con otro criterio diferente a los sugeridos, justifique.</t>
        </r>
      </text>
    </comment>
    <comment ref="A65" authorId="0" shapeId="0" xr:uid="{00000000-0006-0000-0B00-000013000000}">
      <text>
        <r>
          <rPr>
            <sz val="9"/>
            <color indexed="81"/>
            <rFont val="Tahoma"/>
            <family val="2"/>
          </rPr>
          <t>Recuerde que esta materialidad no es obligatoria, si considera que no hay motivos para calcular una cualitativa, escriba "no se determinó materialidad cualitativa"</t>
        </r>
      </text>
    </comment>
    <comment ref="B67" authorId="4" shapeId="0" xr:uid="{00000000-0006-0000-0B00-000014000000}">
      <text>
        <r>
          <rPr>
            <sz val="11"/>
            <color indexed="81"/>
            <rFont val="Tahoma"/>
            <family val="2"/>
          </rPr>
          <t>Ingrese el % de acuerdo al nivel del riesgo combinado</t>
        </r>
        <r>
          <rPr>
            <sz val="9"/>
            <color indexed="81"/>
            <rFont val="Tahoma"/>
            <family val="2"/>
          </rPr>
          <t xml:space="preserve">
</t>
        </r>
      </text>
    </comment>
    <comment ref="E67" authorId="4" shapeId="0" xr:uid="{00000000-0006-0000-0B00-000015000000}">
      <text>
        <r>
          <rPr>
            <sz val="11"/>
            <color indexed="81"/>
            <rFont val="Tahoma"/>
            <family val="2"/>
          </rPr>
          <t xml:space="preserve">Ingresar el valor de la materialidad de planeación MP Cuantitativa de la Base seleccionada
</t>
        </r>
      </text>
    </comment>
    <comment ref="H74" authorId="3" shapeId="0" xr:uid="{00000000-0006-0000-0B00-000016000000}">
      <text>
        <r>
          <rPr>
            <b/>
            <sz val="9"/>
            <color indexed="81"/>
            <rFont val="Tahoma"/>
            <family val="2"/>
          </rPr>
          <t>Lista desplegable, solo si en la etapa de Ejecución cambió la Materialidad de Planeación, entonces seleccione "Si", entonces dirijase a la celda B78 y siguientes, seleccione de la lista el porcentaje de aplicación de la Materilidad de Ejecución.</t>
        </r>
      </text>
    </comment>
    <comment ref="A77" authorId="3" shapeId="0" xr:uid="{00000000-0006-0000-0B00-000017000000}">
      <text>
        <r>
          <rPr>
            <b/>
            <sz val="9"/>
            <color indexed="81"/>
            <rFont val="Tahoma"/>
            <family val="2"/>
          </rPr>
          <t>Seleccione el porcentaje (%) de la Materialidad de Planeación que aplicara para determinar la Materialidad de Ejecución de los rubros generales presupuestarios</t>
        </r>
      </text>
    </comment>
    <comment ref="A81" authorId="3" shapeId="0" xr:uid="{00000000-0006-0000-0B00-000018000000}">
      <text>
        <r>
          <rPr>
            <b/>
            <sz val="9"/>
            <color indexed="81"/>
            <rFont val="Tahoma"/>
            <family val="2"/>
          </rPr>
          <t>Seleccione el porcentaje (%) de la Materialidad de Planeación que aplicara para determinar la Materialidad de Ejecución de los otros rubros presupuestarios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72" authorId="0" shapeId="0" xr:uid="{00000000-0006-0000-0C00-000001000000}">
      <text>
        <r>
          <rPr>
            <b/>
            <sz val="9"/>
            <color indexed="81"/>
            <rFont val="Tahoma"/>
            <family val="2"/>
          </rPr>
          <t>Seleccione el tipo de hallazgo determinado en cada cuenta, rubro o aspecto presupuestal auditado, incluso si no tuvo hallazgos, si no fue audutado deje en blanco las celdas de las cuentas, rubros o aspectos presupuestales no aplicables o no auditados. Los demás cálculos son automáticos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contrabog</author>
    <author>Admin</author>
    <author xml:space="preserve"> </author>
  </authors>
  <commentList>
    <comment ref="F15" authorId="0" shapeId="0" xr:uid="{00000000-0006-0000-0D00-000001000000}">
      <text>
        <r>
          <rPr>
            <b/>
            <sz val="9"/>
            <color indexed="81"/>
            <rFont val="Tahoma"/>
            <family val="2"/>
          </rPr>
          <t>contrabog:</t>
        </r>
        <r>
          <rPr>
            <sz val="9"/>
            <color indexed="81"/>
            <rFont val="Tahoma"/>
            <family val="2"/>
          </rPr>
          <t xml:space="preserve">
Lista desplegable</t>
        </r>
      </text>
    </comment>
    <comment ref="G15" authorId="0" shapeId="0" xr:uid="{00000000-0006-0000-0D00-000002000000}">
      <text>
        <r>
          <rPr>
            <b/>
            <sz val="9"/>
            <color indexed="81"/>
            <rFont val="Tahoma"/>
            <family val="2"/>
          </rPr>
          <t>contrabog:</t>
        </r>
        <r>
          <rPr>
            <sz val="9"/>
            <color indexed="81"/>
            <rFont val="Tahoma"/>
            <family val="2"/>
          </rPr>
          <t xml:space="preserve">
Lista desplegable</t>
        </r>
      </text>
    </comment>
    <comment ref="H15" authorId="1" shapeId="0" xr:uid="{00000000-0006-0000-0D00-000003000000}">
      <text>
        <r>
          <rPr>
            <b/>
            <sz val="9"/>
            <color indexed="81"/>
            <rFont val="Tahoma"/>
            <family val="2"/>
          </rPr>
          <t>Lista desplegable</t>
        </r>
      </text>
    </comment>
    <comment ref="I23" authorId="2" shapeId="0" xr:uid="{00000000-0006-0000-0D00-000004000000}">
      <text>
        <r>
          <rPr>
            <b/>
            <sz val="8"/>
            <color rgb="FF000000"/>
            <rFont val="Tahoma"/>
            <family val="2"/>
          </rPr>
          <t xml:space="preserve">Se ingresa la meta en la unidad de medida correspondiente (ej  meta 1200 cupos </t>
        </r>
      </text>
    </comment>
    <comment ref="J23" authorId="2" shapeId="0" xr:uid="{00000000-0006-0000-0D00-000005000000}">
      <text>
        <r>
          <rPr>
            <b/>
            <sz val="8"/>
            <color indexed="81"/>
            <rFont val="Tahoma"/>
            <family val="2"/>
          </rPr>
          <t xml:space="preserve"> se incluye el resultado en la unidad de medida  correspondiente(ej se ejecutaron 800 cupos)
</t>
        </r>
        <r>
          <rPr>
            <sz val="8"/>
            <color indexed="81"/>
            <rFont val="Tahoma"/>
            <family val="2"/>
          </rPr>
          <t xml:space="preserve">
</t>
        </r>
      </text>
    </comment>
    <comment ref="O23" authorId="2" shapeId="0" xr:uid="{00000000-0006-0000-0D00-000006000000}">
      <text>
        <r>
          <rPr>
            <b/>
            <sz val="10"/>
            <color indexed="81"/>
            <rFont val="Tahoma"/>
            <family val="2"/>
          </rPr>
          <t>Presupuesto inicial prramadado</t>
        </r>
      </text>
    </comment>
    <comment ref="P23" authorId="2" shapeId="0" xr:uid="{00000000-0006-0000-0D00-000007000000}">
      <text>
        <r>
          <rPr>
            <b/>
            <sz val="10"/>
            <color indexed="81"/>
            <rFont val="Tahoma"/>
            <family val="2"/>
          </rPr>
          <t>Presupuesto ejecutado o contratado.</t>
        </r>
      </text>
    </comment>
    <comment ref="R23" authorId="2" shapeId="0" xr:uid="{00000000-0006-0000-0D00-000008000000}">
      <text>
        <r>
          <rPr>
            <b/>
            <sz val="10"/>
            <color indexed="81"/>
            <rFont val="Tahoma"/>
            <family val="2"/>
          </rPr>
          <t>Presupuesto ejecutado o contratado.</t>
        </r>
      </text>
    </comment>
    <comment ref="S23" authorId="2" shapeId="0" xr:uid="{00000000-0006-0000-0D00-000009000000}">
      <text>
        <r>
          <rPr>
            <b/>
            <sz val="10"/>
            <color rgb="FF000000"/>
            <rFont val="Tahoma"/>
            <family val="2"/>
          </rPr>
          <t>Giros</t>
        </r>
      </text>
    </comment>
    <comment ref="U23" authorId="2" shapeId="0" xr:uid="{00000000-0006-0000-0D00-00000A000000}">
      <text>
        <r>
          <rPr>
            <sz val="10"/>
            <color rgb="FF000000"/>
            <rFont val="Tahoma"/>
            <family val="2"/>
          </rPr>
          <t>Tiempo Programado para alcanzar la meta, según Plan Estratégico,proyecto o plan de acción</t>
        </r>
      </text>
    </comment>
    <comment ref="V23" authorId="2" shapeId="0" xr:uid="{00000000-0006-0000-0D00-00000B000000}">
      <text>
        <r>
          <rPr>
            <b/>
            <sz val="10"/>
            <color indexed="81"/>
            <rFont val="Tahoma"/>
            <family val="2"/>
          </rPr>
          <t xml:space="preserve"> : </t>
        </r>
        <r>
          <rPr>
            <sz val="10"/>
            <color indexed="81"/>
            <rFont val="Tahoma"/>
            <family val="2"/>
          </rPr>
          <t>Tiempo en que se logró la meta propuesta.</t>
        </r>
      </text>
    </comment>
    <comment ref="W24" authorId="1" shapeId="0" xr:uid="{00000000-0006-0000-0D00-00000C000000}">
      <text>
        <r>
          <rPr>
            <b/>
            <sz val="9"/>
            <color indexed="81"/>
            <rFont val="Tahoma"/>
            <family val="2"/>
          </rPr>
          <t>Favor seleccione de la lista desplegable la calificaciòn otorgada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Jaison Julio Lopez</author>
    <author>tc={ED11AB80-FFC6-4BD0-ABD5-0EA2E5F8E68D}</author>
    <author>Omar Eduardo</author>
  </authors>
  <commentList>
    <comment ref="A11" authorId="0" shapeId="0" xr:uid="{00000000-0006-0000-0E00-000001000000}">
      <text>
        <r>
          <rPr>
            <b/>
            <sz val="9"/>
            <color indexed="81"/>
            <rFont val="Tahoma"/>
            <family val="2"/>
          </rPr>
          <t>La estructura estratégica está compuesta inicialmente por 4 ítems, estos son: Financiera, Clientes/mercados y negocios, Procesos Internos e Innovación y aprendizaje, sin embargo, para el caso que al sujeto de control le aplique otro ítem, en ese caso diligencie la celda (A16) "Otros" con el nombre del ítem, así mismo diríjase a la hoja de calificación comprendida entre las celdas A54 a la A59 y diligencie con el mismo nombre.</t>
        </r>
      </text>
    </comment>
    <comment ref="B11" authorId="0" shapeId="0" xr:uid="{00000000-0006-0000-0E00-000002000000}">
      <text>
        <r>
          <rPr>
            <b/>
            <sz val="9"/>
            <color indexed="81"/>
            <rFont val="Tahoma"/>
            <family val="2"/>
          </rPr>
          <t xml:space="preserve">La ponderación inicial estará sujeta a la asignación otorgada por la respectiva Dirección sectorial, esto de acuerdo al número de ítems que le aplique en la estructura estratégica (Financiera, Clientes/mercados y negocios, Procesos Internos, Innovación y aprendizaje y Otros) los cuales son modificables y editables. recuerde que la sumatoria debe ser 100%, el cual debe redistribuir de acuerdo al grado de importancia.
</t>
        </r>
      </text>
    </comment>
    <comment ref="A16" authorId="0" shapeId="0" xr:uid="{00000000-0006-0000-0E00-000003000000}">
      <text>
        <r>
          <rPr>
            <b/>
            <sz val="9"/>
            <color indexed="81"/>
            <rFont val="Tahoma"/>
            <family val="2"/>
          </rPr>
          <t>Diligencie solo si le aplica otro ítem adicional.</t>
        </r>
      </text>
    </comment>
    <comment ref="B16" authorId="0" shapeId="0" xr:uid="{00000000-0006-0000-0E00-000004000000}">
      <text>
        <r>
          <rPr>
            <b/>
            <sz val="9"/>
            <color indexed="81"/>
            <rFont val="Tahoma"/>
            <family val="2"/>
          </rPr>
          <t>Para el caso que le aplique otro ítem adicional favor asígnele un porcentaje de ponderación, no olvide que el total de porcentaje de todos los ítems debe ser 100%.</t>
        </r>
      </text>
    </comment>
    <comment ref="B20" authorId="1" shapeId="0" xr:uid="{00000000-0006-0000-0E00-00000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USER:
Favor digite el valor anual total del Plan Estratégico. </t>
      </text>
    </comment>
    <comment ref="N25" authorId="2" shapeId="0" xr:uid="{00000000-0006-0000-0E00-000006000000}">
      <text>
        <r>
          <rPr>
            <sz val="9"/>
            <color indexed="81"/>
            <rFont val="Tahoma"/>
            <family val="2"/>
          </rPr>
          <t xml:space="preserve">CUANDO CORRESPONDA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Contraloria</author>
    <author>tc={B83077C8-393B-4D90-9BB8-29A66010062B}</author>
  </authors>
  <commentList>
    <comment ref="F23" authorId="0" shapeId="0" xr:uid="{00000000-0006-0000-1000-000001000000}">
      <text>
        <r>
          <rPr>
            <b/>
            <sz val="9"/>
            <color indexed="81"/>
            <rFont val="Tahoma"/>
            <family val="2"/>
          </rPr>
          <t>Contraloria: SELECCIONE DE LA LISTA DESPLEGABLE LA VALORACIÓN OBTENIDA DE LA MATRIZ DE RIESGO Y CONTROLES PARA EL PROCESO DE GASTO PUBLICO (I17)</t>
        </r>
      </text>
    </comment>
    <comment ref="F28" authorId="1" shapeId="0" xr:uid="{00000000-0006-0000-1000-00000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Si no es posible cumplir con el tamaño mínimo de la muestra, dejar justificación en el Plan de Trabajo. </t>
      </text>
    </comment>
    <comment ref="I65" authorId="0" shapeId="0" xr:uid="{00000000-0006-0000-1000-000003000000}">
      <text>
        <r>
          <rPr>
            <b/>
            <sz val="9"/>
            <color indexed="81"/>
            <rFont val="Tahoma"/>
            <family val="2"/>
          </rPr>
          <t>Contraloria:</t>
        </r>
        <r>
          <rPr>
            <sz val="9"/>
            <color indexed="81"/>
            <rFont val="Tahoma"/>
            <family val="2"/>
          </rPr>
          <t xml:space="preserve">
TRAER VALOR DE LA MATRIZ DE RIESGO FISCAL. O DE LA MATRIZ DE RIESGO CONTROL FISCAL INTERNO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Roberto Jimenez Rodriguez</author>
    <author>administrador</author>
    <author>Jaison Julio López</author>
  </authors>
  <commentList>
    <comment ref="B11" authorId="0" shapeId="0" xr:uid="{00000000-0006-0000-1100-000001000000}">
      <text>
        <r>
          <rPr>
            <b/>
            <sz val="9"/>
            <color indexed="81"/>
            <rFont val="Tahoma"/>
            <family val="2"/>
          </rPr>
          <t>Roberto Jimenez Rodriguez:</t>
        </r>
        <r>
          <rPr>
            <sz val="9"/>
            <color indexed="81"/>
            <rFont val="Tahoma"/>
            <family val="2"/>
          </rPr>
          <t xml:space="preserve">
OCULTAR ESTA INFORMACIÓN
</t>
        </r>
      </text>
    </comment>
    <comment ref="D21" authorId="1" shapeId="0" xr:uid="{00000000-0006-0000-1100-000002000000}">
      <text>
        <r>
          <rPr>
            <b/>
            <sz val="9"/>
            <color indexed="81"/>
            <rFont val="Tahoma"/>
            <family val="2"/>
          </rPr>
          <t>Administrador:</t>
        </r>
        <r>
          <rPr>
            <sz val="9"/>
            <color indexed="81"/>
            <rFont val="Tahoma"/>
            <family val="2"/>
          </rPr>
          <t xml:space="preserve">
La lectura del Resultado debe interprestarse de acuerdo con la Naturaleza Juridica del Sujeto de Control Fiscal y su Régimen de Contratación Aplicable.</t>
        </r>
      </text>
    </comment>
    <comment ref="C64" authorId="2" shapeId="0" xr:uid="{00000000-0006-0000-1100-000003000000}">
      <text>
        <r>
          <rPr>
            <b/>
            <sz val="9"/>
            <color indexed="81"/>
            <rFont val="Tahoma"/>
            <family val="2"/>
          </rPr>
          <t>Lista desplegable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<sst xmlns="http://schemas.openxmlformats.org/spreadsheetml/2006/main" count="4930" uniqueCount="1825">
  <si>
    <t>Dirección Sectorial:</t>
  </si>
  <si>
    <t>Sujeto de Control auditado:</t>
  </si>
  <si>
    <t>Vigencia auditada:</t>
  </si>
  <si>
    <t>Código Auditoría:</t>
  </si>
  <si>
    <t>Fecha de elaboración:</t>
  </si>
  <si>
    <t>Fecha de revisión</t>
  </si>
  <si>
    <t>CONTRATOS SUSCRITOS EN LA VIGENCIA AUDITAR</t>
  </si>
  <si>
    <t>MODALIDAD DE SELECCIÓN</t>
  </si>
  <si>
    <t>CANTIDAD CONTRATOS SUSCRITOS</t>
  </si>
  <si>
    <t>VALOR CONTRATOS</t>
  </si>
  <si>
    <t>% DEL VALOR TOTAL</t>
  </si>
  <si>
    <t>PAGOS REALIZADOS EN LA VIGENCIA A AUDITAR</t>
  </si>
  <si>
    <t>% DE PAGOS
(Total Pagado / Total Valor Contratos)</t>
  </si>
  <si>
    <t>1 LICITACIÓN PÚBLICA</t>
  </si>
  <si>
    <t>1 Licitación pública</t>
  </si>
  <si>
    <t>2 SELECCIÓN ABREVIADA</t>
  </si>
  <si>
    <t>2 Selección abreviada</t>
  </si>
  <si>
    <t>3 CONCURSO DE MÉRITOS</t>
  </si>
  <si>
    <t>3 Concurso de méritos</t>
  </si>
  <si>
    <t>4 MÍNIMA CUANTÍA</t>
  </si>
  <si>
    <t>4 Mínima cuantía</t>
  </si>
  <si>
    <t>5 CONTRATACIÓN DIRECTA</t>
  </si>
  <si>
    <t>5 Contratación directa</t>
  </si>
  <si>
    <t>6 CONTRATACIÓN DIRECTA POR URGENCIA MANIFIESTA</t>
  </si>
  <si>
    <t>6 Contratación directa por Urgencia Manifiesta</t>
  </si>
  <si>
    <t>7 CONVOCATORIA PÚBLICA</t>
  </si>
  <si>
    <t>7 Convocatoria pública</t>
  </si>
  <si>
    <t>8 OTRA REGIMEN ESPECIAL</t>
  </si>
  <si>
    <t>8 Otra Regimen Especial</t>
  </si>
  <si>
    <t>9 INVITACIÓN DIRECTA</t>
  </si>
  <si>
    <t>9 Invitación Directa</t>
  </si>
  <si>
    <t>10 INVITACIÓN PÚBLICA</t>
  </si>
  <si>
    <t>10 Invitación Pública</t>
  </si>
  <si>
    <t>11 INVITACIÓN CERRADA</t>
  </si>
  <si>
    <t>11 Invitación Cerrada</t>
  </si>
  <si>
    <t>TOTAL</t>
  </si>
  <si>
    <t>Fuente: SIVICOF
Nota: Eliminar las filas de las modalidades de selección donde no aplique o no se tengan datos</t>
  </si>
  <si>
    <t>TIPOLOGIA</t>
  </si>
  <si>
    <t xml:space="preserve"> 10-CONTRATO DE OBRA</t>
  </si>
  <si>
    <t xml:space="preserve"> 21-CONSULTORÍA (INTERVENTORÍA)</t>
  </si>
  <si>
    <t xml:space="preserve"> 22-CONSULTORÍA (GERENCIA DE OBRA)</t>
  </si>
  <si>
    <t xml:space="preserve"> 23-CONSULTORÍA (GERENCIA DE PROYECTO)</t>
  </si>
  <si>
    <t xml:space="preserve"> 24-CONSULTORÍA (ESTUDIOS Y DISEÑOS TECNICOS)</t>
  </si>
  <si>
    <t xml:space="preserve"> 25-CONSULTORÍA (ESTUDIOS DE PREFACTIBILIDAD Y FACTIBILIDAD)</t>
  </si>
  <si>
    <t xml:space="preserve"> 26-CONSULTORÍA (ASESORÍA TÉCNICA)</t>
  </si>
  <si>
    <t xml:space="preserve"> 29-CONSULTORÍA (OTROS)</t>
  </si>
  <si>
    <t xml:space="preserve"> 30-SERVICIOS DE MANTENIMIENTO Y/O REPARACIÓN</t>
  </si>
  <si>
    <t xml:space="preserve"> 31-SERVICIOS PROFESIONALES</t>
  </si>
  <si>
    <t xml:space="preserve"> 32-SERVICIOS ARTÍSTICOS</t>
  </si>
  <si>
    <t xml:space="preserve"> 33-SERVICIOS APOYO A LA GESTION DE LA ENTIDAD (SERVICIOS ADMINISTRATI</t>
  </si>
  <si>
    <t xml:space="preserve"> 34-SERVICIOS ASISTENCIALES DE SALUD</t>
  </si>
  <si>
    <t xml:space="preserve"> 35-SERVICIOS DE COMUNICACIONES</t>
  </si>
  <si>
    <t xml:space="preserve"> 36-SERVICIOS DE EDICIÓN</t>
  </si>
  <si>
    <t xml:space="preserve"> 37-SERVICIOS DE IMPRESIÓN</t>
  </si>
  <si>
    <t xml:space="preserve"> 38-SERVICIOS DE PUBLICACIÓN</t>
  </si>
  <si>
    <t xml:space="preserve"> 39-SERVICIOS DE CAPACITACIÓN</t>
  </si>
  <si>
    <t xml:space="preserve"> 40-SERVICIOS DE OUTSOURCING</t>
  </si>
  <si>
    <t xml:space="preserve"> 41-DESARROLLO DE PROYECTOS CULTURALES</t>
  </si>
  <si>
    <t xml:space="preserve"> 42-SUMINISTRO DE BIENES EN GENERAL</t>
  </si>
  <si>
    <t xml:space="preserve"> 43-SUMINISTRO DE SERVICIO DE VIGILANCIA</t>
  </si>
  <si>
    <t xml:space="preserve"> 44-SUMINISTRO DE SERVICIO DE ASEO</t>
  </si>
  <si>
    <t xml:space="preserve"> 45-SUMUNISTRO DE ALIMENTOS</t>
  </si>
  <si>
    <t xml:space="preserve"> 46-SUMUNISTRO DE MEDICAMENTOS</t>
  </si>
  <si>
    <t xml:space="preserve"> 48-OTROS SUMINISTROS</t>
  </si>
  <si>
    <t xml:space="preserve"> 49-OTROS SERVICIOS</t>
  </si>
  <si>
    <t xml:space="preserve"> 50-SERVICIOS DE TRANSPORTE</t>
  </si>
  <si>
    <t xml:space="preserve"> 51-CONCESIÓN (ADMINISTRACIÓN DE BIENES)</t>
  </si>
  <si>
    <t xml:space="preserve"> 52-CONCESIÓN (SERVICIOS PÚBLICOS DOMICILIARIOS)</t>
  </si>
  <si>
    <t xml:space="preserve"> 54-CONCESIÓN (SERVICIOS DE SALUD)</t>
  </si>
  <si>
    <t xml:space="preserve"> 55-CONCESIÓN (OBRA PÚBLICA)</t>
  </si>
  <si>
    <t xml:space="preserve"> 59-CONCESIÓN (OTROS)</t>
  </si>
  <si>
    <t xml:space="preserve"> 61-CONTRATO DE FIDUCIA O ENCARGO FIDUCIARIO</t>
  </si>
  <si>
    <t xml:space="preserve"> 62-CONTRATO DE ADMINISTRACIÓN PROFESIONAL DE ACCIONES</t>
  </si>
  <si>
    <t xml:space="preserve"> 63-LEASING</t>
  </si>
  <si>
    <t xml:space="preserve"> 65-DEPÓSITOS</t>
  </si>
  <si>
    <t xml:space="preserve"> 69-OTRO TIPO DE CONTRATO FINANCIERO</t>
  </si>
  <si>
    <t xml:space="preserve"> 71-CORRETAJE O INTERMEDIACIÓN DE SEGUROS</t>
  </si>
  <si>
    <t xml:space="preserve"> 72-CONTRATO DE SEGUROS</t>
  </si>
  <si>
    <t xml:space="preserve"> 79-OTRO TIPO DE CONTRATO DE SEGUROS</t>
  </si>
  <si>
    <t xml:space="preserve"> 81-ADMINISTRACIÓN Y CUSTODIA DE BONOS DEL PROGRAMA</t>
  </si>
  <si>
    <t xml:space="preserve"> 84-ADMINISTRACIÓN Y CUSTODIA DE VALORES</t>
  </si>
  <si>
    <t xml:space="preserve"> 86-REPRESENTACIÓN DE TENEDORES DE BONOS</t>
  </si>
  <si>
    <t xml:space="preserve"> 99-OTROS CONTRATOS DE TÍTULOS VALORES</t>
  </si>
  <si>
    <t xml:space="preserve"> 119-OTROS CONTRATOS DE ASOCIACIÓN</t>
  </si>
  <si>
    <t xml:space="preserve"> 121-COMPRAVENTA (BIENES MUEBLES)</t>
  </si>
  <si>
    <t xml:space="preserve"> 122-COMPRAVENTA (BIENES INMUEBLES)</t>
  </si>
  <si>
    <t xml:space="preserve"> 131-ARRENDAMIENTO DE BIENES MUEBLES</t>
  </si>
  <si>
    <t xml:space="preserve"> 132-ARRENDAMIENTO DE BIENES INMUEBLES</t>
  </si>
  <si>
    <t xml:space="preserve"> 133-ADMINISTRACIÓN Y ENAJENACIÓN DE INMUEBLES</t>
  </si>
  <si>
    <t xml:space="preserve"> 161-DERECHOS DE AUTOR O PROPIEDAD INTELECTUAL</t>
  </si>
  <si>
    <t xml:space="preserve"> 162-DERECHOS DE PROPIEDAD INDUSTRIAL</t>
  </si>
  <si>
    <t xml:space="preserve"> 164-TRANSFERENCIA DE TECNOLOGÍA</t>
  </si>
  <si>
    <t xml:space="preserve"> 169-OTRO TIPO DE CONTRATO DE DERECHOS DE PROPIEDAD</t>
  </si>
  <si>
    <t xml:space="preserve"> 201-CONVENIO DE COOPERACIÓN Y ASISTENCIA TÉCNICA</t>
  </si>
  <si>
    <t xml:space="preserve"> 209-OTROS CONTRATOS CON ORGANISMOS MULTILATERALES</t>
  </si>
  <si>
    <t xml:space="preserve"> 211-CONVENIO INTERADMINISTRATIVO</t>
  </si>
  <si>
    <t xml:space="preserve"> 212-CONVENIO INTERADMINISTRATIVO DE COFINANCIACIÓN</t>
  </si>
  <si>
    <t xml:space="preserve"> 213-CONVENIO ADMINISTRATIVO</t>
  </si>
  <si>
    <t xml:space="preserve"> 219-OTROS TIPO DE CONVENIOS</t>
  </si>
  <si>
    <t xml:space="preserve"> 901-PERMUTA DE BIENES MUEBLES</t>
  </si>
  <si>
    <t xml:space="preserve"> 903-MANDATO</t>
  </si>
  <si>
    <t xml:space="preserve"> 904-COMODATO</t>
  </si>
  <si>
    <t xml:space="preserve"> 906-DONACIÓN</t>
  </si>
  <si>
    <t xml:space="preserve"> 907-CESIÓN</t>
  </si>
  <si>
    <t xml:space="preserve"> 908-APROVECHAMIENTO ECONOMICO (DEPORTES)</t>
  </si>
  <si>
    <t xml:space="preserve"> 909-SUSCRIPCIONES, AFILIACIONES</t>
  </si>
  <si>
    <t xml:space="preserve"> 910-CONTRATO DE ADM/ON. MANTENIM. Y APROVECH. ECONÓMICO DEL ESPACIO P</t>
  </si>
  <si>
    <t xml:space="preserve"> 911-CONTRATO INTERADMINISTRATIVO</t>
  </si>
  <si>
    <t xml:space="preserve"> 912-ADMINISTRACION DE RECURSOS DEL REGIMEN SUBSIDIADO</t>
  </si>
  <si>
    <t xml:space="preserve"> 999-OTRO TIPO DE NATURALEZA DE CONTRATOS</t>
  </si>
  <si>
    <t>Nota: Eliminar las filas de las tipologías de contratación donde no aplique o no se tengan datos</t>
  </si>
  <si>
    <t>AÑO SUSCRIPCIÓN CONTRATOS</t>
  </si>
  <si>
    <t>….</t>
  </si>
  <si>
    <t>VR. PAGADO</t>
  </si>
  <si>
    <t>VALOR ADICIONADO EN LA VIGENCIA A AUDITAR</t>
  </si>
  <si>
    <t>Gastos de personal</t>
  </si>
  <si>
    <t>Adquisición de bienes y servicios</t>
  </si>
  <si>
    <t>Gerente - Lider:</t>
  </si>
  <si>
    <t>Dirección Sector:</t>
  </si>
  <si>
    <t xml:space="preserve">210000 - DIRECCIÓN SECTOR SERVICIOS PÚBLICOS </t>
  </si>
  <si>
    <t>269 - Agencia de Analítica de Datos SAS - AGATA</t>
  </si>
  <si>
    <t>Vigencia Auditada:</t>
  </si>
  <si>
    <t>Fecha de revisión:</t>
  </si>
  <si>
    <t>MONTO</t>
  </si>
  <si>
    <t>AUDITORIA ACTUAL</t>
  </si>
  <si>
    <t>Hallazgos configurados en la auditoría anterior - Proceso de Gasto Público</t>
  </si>
  <si>
    <t>Concepto del Proceso de Gasto Público de la auditoría anterior</t>
  </si>
  <si>
    <t>Calificación del Control Fiscal Interno de la auditoría anterior del Proceso de Gasto Público</t>
  </si>
  <si>
    <t>Valoración del Riesgo Residual o Combinado de la vigencia auditar del Proceso de Gasto Público</t>
  </si>
  <si>
    <t>Hallazgos con Incidencia Fiscal o con Presunta Incidencia Penal</t>
  </si>
  <si>
    <t>Inefectivo</t>
  </si>
  <si>
    <t>Con deficiencias</t>
  </si>
  <si>
    <t>Medio</t>
  </si>
  <si>
    <t>Porcentaje de Materialidad</t>
  </si>
  <si>
    <t>Parámetro para Concepto según Materialidad (100% - % Materialidad)</t>
  </si>
  <si>
    <t>Porcentaje de Muestreo Mínimo según Nivel de Riesgo</t>
  </si>
  <si>
    <t>Tamaño Mínimo de la Muestra</t>
  </si>
  <si>
    <t>Hallazgos vigencias anteriores?</t>
  </si>
  <si>
    <t>VALOR</t>
  </si>
  <si>
    <t>Conceptos Gasto vigencia anterior</t>
  </si>
  <si>
    <t>Universo</t>
  </si>
  <si>
    <t>Hallazgos con Presunta Incidencia Disciplinaria</t>
  </si>
  <si>
    <t>Moderadamente Efectivo</t>
  </si>
  <si>
    <t xml:space="preserve"> </t>
  </si>
  <si>
    <t>Hallazgos Administrativos</t>
  </si>
  <si>
    <t>Efectivo</t>
  </si>
  <si>
    <t>Sin hallazgos</t>
  </si>
  <si>
    <t>No hay</t>
  </si>
  <si>
    <t/>
  </si>
  <si>
    <t>Riesgo Residual período auditado</t>
  </si>
  <si>
    <t>Calificación CFI - Gasto Público</t>
  </si>
  <si>
    <t>Crítico</t>
  </si>
  <si>
    <t>Inexistente</t>
  </si>
  <si>
    <t>Alto</t>
  </si>
  <si>
    <t>Ineficiente</t>
  </si>
  <si>
    <t>Bajo</t>
  </si>
  <si>
    <t>Eficiente</t>
  </si>
  <si>
    <t>Muestra Mín</t>
  </si>
  <si>
    <t>Mínimo con Concepto Vig Anterior</t>
  </si>
  <si>
    <t>Mínimo SIN Concepto Vig Anterior</t>
  </si>
  <si>
    <t>Riesgo de Control</t>
  </si>
  <si>
    <t>MATERIALIDAD</t>
  </si>
  <si>
    <t>Materialidad Relativa a la Muestra</t>
  </si>
  <si>
    <t>Parametro Minimo Concepto</t>
  </si>
  <si>
    <t>BAJO</t>
  </si>
  <si>
    <t>MEDIO</t>
  </si>
  <si>
    <t>ALTO</t>
  </si>
  <si>
    <t>ENTIDAD</t>
  </si>
  <si>
    <t xml:space="preserve">CONTRATO O GASTO </t>
  </si>
  <si>
    <t xml:space="preserve">NUMERO DE CONTRATO O GASTO </t>
  </si>
  <si>
    <t>PARAMETRO MÍNIMO PARA CONCEPTO FAVORABLE</t>
  </si>
  <si>
    <t>FECHA DE SUSCRIPCIÓN</t>
  </si>
  <si>
    <t>TIPO DE MONEDA</t>
  </si>
  <si>
    <t>TASA REPRESENTATIVA DE MERCADO</t>
  </si>
  <si>
    <t>VALOR TOTAL CONTRATO O GASTO EN PESOS</t>
  </si>
  <si>
    <t xml:space="preserve">VALOR TOTAL AUDITADO DE LA VIGENCIA EN PESOS </t>
  </si>
  <si>
    <t>PRINCIPIO</t>
  </si>
  <si>
    <t>CALIFICACION</t>
  </si>
  <si>
    <t>RESULTADO</t>
  </si>
  <si>
    <t>PERIODO EVALUADO DEL CONTRATO O GASTO</t>
  </si>
  <si>
    <t>Del 01-12-2018 al 09-09-2020</t>
  </si>
  <si>
    <t>Del 06-12-2016 al 17-09-2019</t>
  </si>
  <si>
    <t>Del 21-07-2017 al 21-10-2020</t>
  </si>
  <si>
    <t>Del 26-06-2019 al 10-11-2020</t>
  </si>
  <si>
    <t>Del 18-12-2019 al 15-07-2020</t>
  </si>
  <si>
    <t>Del 26-06-2019 al 31-08-2020</t>
  </si>
  <si>
    <t>ECONOMÍA</t>
  </si>
  <si>
    <t>TIPO DE CONTRATO O GASTO</t>
  </si>
  <si>
    <t>Contrato de Interventoría</t>
  </si>
  <si>
    <t>Convenio de Asociación</t>
  </si>
  <si>
    <t>Convenio Interadministrativo</t>
  </si>
  <si>
    <t>Contrato Interadministrativo</t>
  </si>
  <si>
    <t>EFICACIA</t>
  </si>
  <si>
    <t>NOMBRE DEL AUDITOR RESPONSABLE DEL CONTRATO</t>
  </si>
  <si>
    <t>EFICIENCIA</t>
  </si>
  <si>
    <t>ETAPA (S) A EVALUAR, SI APLICA</t>
  </si>
  <si>
    <t>ETAPA 1 Y 2</t>
  </si>
  <si>
    <t>TODAS LAS ETAPAS</t>
  </si>
  <si>
    <t>PONDERACIÓN DEL CONTRATO O GASTO</t>
  </si>
  <si>
    <t>CONCEPTO</t>
  </si>
  <si>
    <t>HALLAZGOS EN EL CONTRATO O GASTO ASOCIADO</t>
  </si>
  <si>
    <t>CON PRES. INCID. PENAL</t>
  </si>
  <si>
    <t>SIN HALLAZGOS</t>
  </si>
  <si>
    <t>CON PRES. INC. DISCIPLINARIA</t>
  </si>
  <si>
    <t>SOLO ADMINISTRATIVOS</t>
  </si>
  <si>
    <t>NUMERALES ASOCIADOS AL HALLAZGO</t>
  </si>
  <si>
    <t>ETAPA</t>
  </si>
  <si>
    <t>CONSTANTE</t>
  </si>
  <si>
    <t>PRINCIPIO DE LA GESTIÓN FISCAL</t>
  </si>
  <si>
    <t xml:space="preserve">RESULTADO DE LA GESTION DEL GASTO PÚBLICO </t>
  </si>
  <si>
    <t>CALIFICACIÓN</t>
  </si>
  <si>
    <t>PRECONTRACTUAL</t>
  </si>
  <si>
    <t>La contratación guarda coherencia con el Plan de Desarrollo (Planes, programas y proyectos de inversión y/o funcionamiento) o Plan Estratégico Corporativo (Objetivos Empresariales) y Plan Anual de Adquisiciones y Compras.</t>
  </si>
  <si>
    <t>La necesidad se ajustó al Plan de Desarrollo, Plan Estratégico Corporativo, Plan Anual de Adquisiciones y Compras, sus líneas de inversión y/o de funcionamiento, y fue coherente con los proyectos/ metas y/o rubro fuente de financiación.</t>
  </si>
  <si>
    <t xml:space="preserve">Se cuenta con un documento o instrumento que hace las veces de estudios previos o elemento mínimo de planeación, que permite identificar y justificar con claridad la necesidad de la contratación fundamentada en razones técnicas, económicas y jurídicas. </t>
  </si>
  <si>
    <t xml:space="preserve">Se identificó el documento o instrumento que hace las veces de estudios previos, en donde se define y se justifica adecuadamente la necesidad real de los bienes y/o servicios a contratar. </t>
  </si>
  <si>
    <t xml:space="preserve">El estudio técnico y presupuestal estimado para el contrato está acorde con los precios del mercado. </t>
  </si>
  <si>
    <t xml:space="preserve">El estudio técnico, presupuestal y de mercado, es riguroso y responde a las necesidades de los bienes y servicios descritos en los Estudios Previos y/o documento o instrumento que hace las veces, de acuerdo con el Régimen de Contratación Aplicable. </t>
  </si>
  <si>
    <t>Se contó con la competencia e idoneidad para adelantar el proceso de selección del contratista.</t>
  </si>
  <si>
    <t>El proceso de selección del contratista fue adelantado por personal idóneo dentro de los lineamientos de su competencia.</t>
  </si>
  <si>
    <t>Se identificó correctamente la modalidad de selección del contratista, conservando las condiciones y términos del proceso de selección.</t>
  </si>
  <si>
    <t>Se seleccionó al contratista con la modalidad de contratación conforme a la ley vigente del Régimen de Contratación Estatal y/o Régimen Jurídico Privado o especial, Manuales y/o Estatutos de Contratación Internos, acorde con el objeto contractual propuesto.</t>
  </si>
  <si>
    <t xml:space="preserve">Se permitió el acceso a todos los oferentes al proceso de selección cumpliendo con los requisitos de publicidad, transparencia y pluralidad de oferentes. </t>
  </si>
  <si>
    <t>El proceso de selección se realizó con objetividad, neutralidad y claridad de las reglas impuestas para la presentación de ofertas, cumpliendo con los principios de selección objetiva.</t>
  </si>
  <si>
    <t xml:space="preserve">El oferente y/o proveedor cumplió con la idoneidad y capacidad exigida para el desarrollo del objeto contractual. </t>
  </si>
  <si>
    <t>En la oferta se identificó claramente el proveedor, el tamaño de su empresa y no se evidenció posible colusión y/o acuerdos entre oferentes que afectaran la Selección y la Transparencia.</t>
  </si>
  <si>
    <t xml:space="preserve">ECONOMÍA </t>
  </si>
  <si>
    <t xml:space="preserve">Se contó con capacidad jurídica, técnica y financiera por el contratista que aseguró el desarrollo normal del contrato. (Certificado de Existencia y Representación Legal, Formulario de Registro Único Tributario). </t>
  </si>
  <si>
    <t xml:space="preserve">La experiencia acreditada de la oferta que se escogió tiene relación directa con el objeto contractual en su actividad económica y comercial. En casos aplicables al Régimen de Contratación Estatal se acreditó conforme a la codificación establecida por Colombia Compra Eficiente. </t>
  </si>
  <si>
    <t>Se efectuó la estimación, calificación y asignación de riesgos y constitución de garantías en esta etapa.</t>
  </si>
  <si>
    <t xml:space="preserve">Antes de cerrar el proceso precontractual se surtió la instancia (Audiencia) para la estimación, calificación y asignación de riesgos y se consideraron las garantías de acuerdo con las exigencias del compromiso (Documento que hizo las veces de pliego de condiciones). </t>
  </si>
  <si>
    <t xml:space="preserve">Se identificó y calificó los riesgos acorde a la necesidad real del bien y/o servicio a adquirir (CONPES -Teoría del riesgo previsible, asignación de riesgos) </t>
  </si>
  <si>
    <t>Los riesgos fueron amparados con las garantías derivadas de la etapa precontractual de conformidad con la ley vigente.  (Compañías de Seguros u otras Entidades autorizadas por la Superintendencia Financiera).</t>
  </si>
  <si>
    <t>CONTRACTUAL</t>
  </si>
  <si>
    <t>Los otrosí y/o suspensiones del contrato no generaron impacto económico, están debidamente justificados y fundamentados conforme al objeto contractual y en el mismo sentido se amplió y aprobó la vigencia de las garantías.
*Otrosí: adiciones, prórrogas, modificaciones.</t>
  </si>
  <si>
    <t xml:space="preserve">Los otrosí del contrato, contienen las justificaciones del interventor y/o supervisor, fundamentadas en causas reales y soportadas, y la vigencia de las garantías debidamente aprobadas. </t>
  </si>
  <si>
    <t xml:space="preserve">Las modificaciones contractuales no generaron impacto económico negativo o injustificado para el Sujeto de Vigilancia y Control Fiscal. (Se tuvieron en cuenta los elementos necesarios de la etapa precontractual en las modificaciones). </t>
  </si>
  <si>
    <t>Las mayores cantidades o ítems no previstos de obra que incrementaron el presupuesto del contrato, cuentan con un estudio de mercado justificado.</t>
  </si>
  <si>
    <t xml:space="preserve">El pago efectuado estuvo de acuerdo con las condiciones pactadas y la debida ejecución del contrato. </t>
  </si>
  <si>
    <t xml:space="preserve">La capacidad técnica, económica e idoneidad ofertada se mantuvieron durante la ejecución del contrato, (No se presentaron cambios en el objeto contractual derivados de las modificaciones). </t>
  </si>
  <si>
    <t>La supervisión y/o interventoría cumple eficazmente con los propósitos normativos vigentes y su vez con los procesos y procedimientos establecidos por el sujeto de vigilancia y control fiscal en sus instrumentos internos.</t>
  </si>
  <si>
    <t>Los informes de interventoría y/o supervisión dieron cuenta del cumplimiento de la totalidad de las obligaciones pactadas en el contrato, en forma clara, amplia y precisa.</t>
  </si>
  <si>
    <t xml:space="preserve">El supervisor efectuó revisiones y visitas periódicas a las obras ejecutadas, servicios prestados o bienes suministrados, verificando que ellos cumplieran con las condiciones ofrecidas por el contratista. </t>
  </si>
  <si>
    <t>El interventor y/o supervisor ejecutó sus funciones de acuerdo con las obligaciones y/o manual de interventoría y contratación interno y Estatal, reflejándose en los informes presentados, las condiciones técnicas, administrativas, económicas, financieras y legales verificadas.</t>
  </si>
  <si>
    <t>Las medidas de apremio fueron tramitadas oportunamente. (Sanciones por incumplimientos).</t>
  </si>
  <si>
    <t xml:space="preserve">La supervisión y/o interventoría adelantó oportunamente las gestiones necesarias para el reconocimiento y cobro de las sanciones pecuniarias, multas y garantías a que hubiere lugar. </t>
  </si>
  <si>
    <t xml:space="preserve">Los riesgos previsibles asegurados o asignados a cualquiera de las partes, se mitigaron adecuadamente. </t>
  </si>
  <si>
    <t xml:space="preserve">Se suscribieron las pólizas en los tiempos, amparos y condiciones pactadas y fueron debidamente aprobadas por el interventor y/o supervisor del contrato. </t>
  </si>
  <si>
    <t>Se mitigó adecuadamente un riesgo que no había sido asignado o previsto.</t>
  </si>
  <si>
    <t>Se adelantaron actuaciones administrativas en el cumplimiento de las obligaciones contractuales para hacer efectivas las garantías oportunamente y los montos recuperados cubrieron la totalidad del siniestro.</t>
  </si>
  <si>
    <t xml:space="preserve">Los bienes y servicios recibidos y pagados por el Sujeto de Vigilancia y Control Fiscal, fueron los efectivamente contratados. </t>
  </si>
  <si>
    <t>Los bienes y servicios contratados cumplieron con las condiciones pactadas en costo, cantidad, tiempo, calidad, especificaciones técnicas  y estaban funcionando adecuadamente al momento de la verificación. (Incluye recepción del producto - Actas de recibido a satisfacción).</t>
  </si>
  <si>
    <t>POSTCONTRACTUAL O LIQUIDACIÓN</t>
  </si>
  <si>
    <t>Se verificó el cumplimiento de las obligaciones contractuales y el pago de la totalidad del contrato declarándolo a paz y salvo. Así mismo, las obligaciones por cumplir o posteriores, fueron redactadas de forma clara, expresa y exigible para evitar reclamaciones futuras con sus respectivas pólizas y/o garantías.</t>
  </si>
  <si>
    <t xml:space="preserve">En el acta de liquidación, se evidenció el cumplimiento de las obligaciones contractuales, paz y salvos de lo cancelado al contratista y claramente detalladas en tiempo, costo y oportunidad las obligaciones reciprocas pendientes, así como, sus correspondientes pólizas y/o garantías. </t>
  </si>
  <si>
    <t xml:space="preserve">En la liquidación del contrato, se generó un instrumento de cruce de cuentas entre las partes.  </t>
  </si>
  <si>
    <t>En el instrumento y sus anexos se identificó claramente: el contrato, las partes, objeto y alcance, plazo, precio, pagos y facturaciones, amortizaciones, modificaciones, la forma de cómo se utilizó el anticipo (cuando aplique), prórrogas, adiciones, suspensiones,  balance financiero y cruce de cuentas conforme a la Ley vigente y Estatutos Internos del Sujeto de Vigilancia y Control Fiscal.</t>
  </si>
  <si>
    <t>Se evidenció el pagó conforme a los requisitos establecidos en las obligaciones pactadas en el contrato, sus manuales internos, la ley vigente comercial, contable y tributaria.</t>
  </si>
  <si>
    <t xml:space="preserve">El reintegro de los rendimientos, excedentes y la administración del anticipo, se realizó conforme a lo pactado en el contrato, lo que ordena la Ley vigente como garantía y lo dispuesto en los Estatutos Internos y Procedimientos impartidos por cada Sujeto de Vigilancia y Control Fiscal. </t>
  </si>
  <si>
    <t xml:space="preserve">Los costos de la comisión, gastos y gravámenes por movimiento financiero, fueron cubiertos por el contratista, sin afectar el valor del anticipo. </t>
  </si>
  <si>
    <t>Se determinó si existen o no prestaciones por ejecutar con su correlativa valoración económica. (Acta de liquidación u otro documento)</t>
  </si>
  <si>
    <t xml:space="preserve">En la liquidación del contrato, los bienes y servicios recibidos y pagados por el Sujeto de Vigilancia y Control Fiscal, fueron los efectivamente contratados. </t>
  </si>
  <si>
    <t>En la liquidación del contrato se verificó, que los bienes y servicios recibidos cumplieron con las condiciones pactadas en cantidad, calidad, especificaciones técnicas, oportunidad y estaban funcionando adecuadamente. (Incluye recepción del producto - Actas de recibido a satisfacción).</t>
  </si>
  <si>
    <t xml:space="preserve">Por incumplimiento de las obligaciones contractuales, el Sujeto de Vigilancia y Control Fiscal, ejecutó acciones orientadas a resarcir el daño ocasionado. </t>
  </si>
  <si>
    <t xml:space="preserve">Se determinó que los productos o servicios contratados contribuyeron al cumplimiento de los objetivos del Plan de Desarrollo (Planes, programas y proyectos de inversión y/o funcionamiento) o Plan Estratégico Corporativo (Objetivos Empresariales) y Plan Anual de Adquisiciones y Compras. </t>
  </si>
  <si>
    <t>Los bienes y servicios recibidos suplieron efectivamente la necesidad que origino el contrato y apuntaron al cumplimiento de las metas del plan.</t>
  </si>
  <si>
    <t xml:space="preserve">El beneficio obtenido con la ejecución del contrato es verificable; además contribuyó con los objetivos y las metas del proyecto de inversión y/o funcionamiento. </t>
  </si>
  <si>
    <t>OTROS</t>
  </si>
  <si>
    <t>Otros Resultados no definidos en las variables que le anteceden y son producto de la evaluación del proceso auditor.</t>
  </si>
  <si>
    <t>CALIFICACION  CONTRATO</t>
  </si>
  <si>
    <t>EFICACIA DEL CONTRATO</t>
  </si>
  <si>
    <t>ECONOMÍA DEL CONTRATO</t>
  </si>
  <si>
    <t>EFICIENCIA DEL CONTRATO</t>
  </si>
  <si>
    <t>CALIFICACION PONDERADA POR PRINCIPIO</t>
  </si>
  <si>
    <t>EFICACIA PONDERADA POR CONTRATO</t>
  </si>
  <si>
    <t>ECONOMÍA PONDERADA POR CONTRATO</t>
  </si>
  <si>
    <t>EFICIENCIA PONDERADA POR CONTRATO</t>
  </si>
  <si>
    <t>TOTAL CONTRATO</t>
  </si>
  <si>
    <t>RANGOS DE CALIFICACIÓN DE LA GESTIÓN DEL PROCESO DE GASTO PÚBLICO</t>
  </si>
  <si>
    <t>COP</t>
  </si>
  <si>
    <t>NIVEL DE RIESGO</t>
  </si>
  <si>
    <t>USD</t>
  </si>
  <si>
    <t>Concepto</t>
  </si>
  <si>
    <t>MÁXIMO</t>
  </si>
  <si>
    <t>MÍNIMO</t>
  </si>
  <si>
    <t>DESFAVORABLE</t>
  </si>
  <si>
    <t>INEFECTIVO</t>
  </si>
  <si>
    <t>EFECTIVO</t>
  </si>
  <si>
    <t>CON OBSERVACIONES</t>
  </si>
  <si>
    <t>MODERADAMENTE EFECTIVO</t>
  </si>
  <si>
    <t>FAVORABLE</t>
  </si>
  <si>
    <t>RESULTADO DEL EJERCICIO AUDITOR</t>
  </si>
  <si>
    <t>cuantitativa</t>
  </si>
  <si>
    <t>CON INCIDENCIA FISCAL</t>
  </si>
  <si>
    <t>CON INCID. FISCAL Y PRES. DISCIPLINARIA</t>
  </si>
  <si>
    <t>CON INCID. FISCAL Y PRES. PENAL</t>
  </si>
  <si>
    <t>cualitativa</t>
  </si>
  <si>
    <t>CON INCID. FISCAL, PRES. DISCPL Y PENAL</t>
  </si>
  <si>
    <t>CON PRES. INC. PENAL Y DISCIPLINARIA</t>
  </si>
  <si>
    <t>Sujetos de Control Fiscal</t>
  </si>
  <si>
    <t xml:space="preserve">1 - Fondo de Desarrollo Local de Usaquén. </t>
  </si>
  <si>
    <t>CÓDIGO</t>
  </si>
  <si>
    <t>DEPENDENCIA</t>
  </si>
  <si>
    <t>CONCATENADO</t>
  </si>
  <si>
    <t xml:space="preserve">10 - Fondo de Desarrollo Local de Engativá. </t>
  </si>
  <si>
    <t xml:space="preserve">DIRECCIÓN SECTOR SALUD </t>
  </si>
  <si>
    <t xml:space="preserve">100 - Concejo de Bogotá, D.C. </t>
  </si>
  <si>
    <t xml:space="preserve">DIRECCIÓN SECTOR GOBIERNO </t>
  </si>
  <si>
    <t xml:space="preserve">102 - Personería de Bogotá. </t>
  </si>
  <si>
    <t xml:space="preserve">DIRECCIÓN DE PARTICIPACIÓN CIUDADANA Y DESARROLLO LOCAL </t>
  </si>
  <si>
    <t xml:space="preserve">104 - Secretaría General de la Alcaldía Mayor de Bogotá, D.C. – SGAMB. </t>
  </si>
  <si>
    <t xml:space="preserve">DIRECCIÓN SECTOR EQUIDAD Y GÉNERO </t>
  </si>
  <si>
    <t xml:space="preserve">105 - Veeduría Distrital. </t>
  </si>
  <si>
    <t>GERENCIA LOCAL USAQUÉN</t>
  </si>
  <si>
    <t xml:space="preserve">11 - Fondo de Desarrollo Local de Suba. </t>
  </si>
  <si>
    <t xml:space="preserve">GERENCIA LOCAL CHAPINERO </t>
  </si>
  <si>
    <t xml:space="preserve">110 - Secretaría Distrital de Gobierno – SDG. </t>
  </si>
  <si>
    <t>GERENCIA LOCAL SANTAFÉ</t>
  </si>
  <si>
    <t xml:space="preserve">111 - Secretaría Distrital de Hacienda – SDH. </t>
  </si>
  <si>
    <t xml:space="preserve">GERENCIA LOCAL SAN CRISTÓBAL </t>
  </si>
  <si>
    <t xml:space="preserve">112 - Secretaría de Educación del Distrito – SED - Fondos de Servicios Educativos de los Colegios e Instituciones adscritas a la Secretaría de Educación del Distrito. </t>
  </si>
  <si>
    <t xml:space="preserve">GERENCIA LOCAL USME </t>
  </si>
  <si>
    <t xml:space="preserve">113 - Secretaría Distrital de Movilidad – SDM. </t>
  </si>
  <si>
    <t xml:space="preserve">GERENCIA LOCAL TUNJUELLTO </t>
  </si>
  <si>
    <t xml:space="preserve">114 - Secretaría Distrital de Salud – SDS. </t>
  </si>
  <si>
    <t xml:space="preserve">GERENCIA LOCAL BOSA </t>
  </si>
  <si>
    <t xml:space="preserve">117 - Secretaría Distrital de Desarrollo Económico – SDDE. </t>
  </si>
  <si>
    <t xml:space="preserve">GERENCIA LOCAL KENNEDY </t>
  </si>
  <si>
    <t xml:space="preserve">118 - Secretaría Distrital del Hábitat - SDHT. </t>
  </si>
  <si>
    <t xml:space="preserve">GERENCIA LOCAL FONTIBÓN </t>
  </si>
  <si>
    <t xml:space="preserve">119 - Secretaría Distrital de Cultura, Recreación y Deporte – SDCRD. </t>
  </si>
  <si>
    <t xml:space="preserve">GERENCIA LOCAL ENGATIVÁ </t>
  </si>
  <si>
    <t xml:space="preserve">12 - Fondo de Desarrollo Local de Barrios Unidos. </t>
  </si>
  <si>
    <t xml:space="preserve">GERENCIA LOCAL SUBA </t>
  </si>
  <si>
    <t xml:space="preserve">120 - Secretaría Distrital de Planeación – SDP. </t>
  </si>
  <si>
    <t xml:space="preserve">GERENCIA LOCAL BARRIOS UNIDOS </t>
  </si>
  <si>
    <t xml:space="preserve">121 - Secretaría Distrital de la Mujer – SDM. </t>
  </si>
  <si>
    <t xml:space="preserve">GERENCIA LOCAL TEUSAQUILLO </t>
  </si>
  <si>
    <t xml:space="preserve">122 - Secretaría Distrital de Integración Social – SDIS. </t>
  </si>
  <si>
    <t xml:space="preserve">GERENCIA LOCAL MÁRTIRES </t>
  </si>
  <si>
    <t xml:space="preserve">125 - Departamento Administrativo del Servicio Civil Distrital – DASCD. </t>
  </si>
  <si>
    <t>GERENCIA LOCAL ANTONIO NARIÑO</t>
  </si>
  <si>
    <t xml:space="preserve">126 - Secretaría Distrital de Ambiente – SDA. </t>
  </si>
  <si>
    <t xml:space="preserve">GERENCIA LOCAL PUENTE ARANDA </t>
  </si>
  <si>
    <t xml:space="preserve">127 - Departamento Administrativo de la Defensoría del Espacio Público – DADEP. </t>
  </si>
  <si>
    <t xml:space="preserve">GERENCIA LOCAL LA CANDELARIA </t>
  </si>
  <si>
    <t xml:space="preserve">13 - Fondo de Desarrollo Local de Teusaquillo. </t>
  </si>
  <si>
    <t>GERENCIA LOCAL RAFAEL URIBE URIBE</t>
  </si>
  <si>
    <t xml:space="preserve">131 - Unidad Administrativa Especial del Cuerpo Oficial de Bomberos de Bogotá – UAECOB. </t>
  </si>
  <si>
    <t xml:space="preserve">GERENCIA LOCAL CIUDAD BOLIVAR </t>
  </si>
  <si>
    <t xml:space="preserve">136 - Secretaría Jurídica Distrital – SJD. </t>
  </si>
  <si>
    <t xml:space="preserve">GERENCIA LOCAL SUMAPAZ </t>
  </si>
  <si>
    <t xml:space="preserve">137 - Secretaría Distrital de Seguridad, Convivencia y Justicia – SDSCJ. </t>
  </si>
  <si>
    <t xml:space="preserve">DIRECCIÓN SECTOR HÁBITAT Y AMBIENTE </t>
  </si>
  <si>
    <t xml:space="preserve">14 - Fondo de Desarrollo Local de Los Mártires. </t>
  </si>
  <si>
    <t xml:space="preserve">DIRECCIÓN SECTOR EDUCACIÓN </t>
  </si>
  <si>
    <t xml:space="preserve">15 - Fondo de Desarrollo Local de Antonio Nariño. </t>
  </si>
  <si>
    <t xml:space="preserve">DIRECCIÓN SECTOR HACIENDA </t>
  </si>
  <si>
    <t xml:space="preserve">16 - Fondo de Desarrollo Local de Puente Aranda. </t>
  </si>
  <si>
    <t xml:space="preserve">DIRECCIÓN SECTOR DESARROLLO ECONÓMICO, INDUSTRIA Y TURISMO </t>
  </si>
  <si>
    <t xml:space="preserve">17 - Fondo de Desarrollo Local de La Candelaria. </t>
  </si>
  <si>
    <t xml:space="preserve">DIRECCIÓN SECTOR INTEGRACIÓN SOCIAL </t>
  </si>
  <si>
    <t xml:space="preserve">18 - Fondo de Desarrollo Local de Rafael Uribe Uribe. </t>
  </si>
  <si>
    <t xml:space="preserve">DIRECCIÓN SECTOR SERVICIOS PÚBLICOS </t>
  </si>
  <si>
    <t xml:space="preserve">19 - Fondo de Desarrollo Local de Ciudad Bolívar. </t>
  </si>
  <si>
    <t xml:space="preserve">DIRECCIÓN SECTOR CULTURA, RECREACIÓN Y DEPORTE </t>
  </si>
  <si>
    <t xml:space="preserve">2 - Fondo de Desarrollo Local de Chapinero. </t>
  </si>
  <si>
    <t>DIRECCIÓN SECTOR SEGURIDAD, CONVIVENCIA Y JUSTICIA</t>
  </si>
  <si>
    <t xml:space="preserve">20 - Fondo de Desarrollo Local de Sumapaz. </t>
  </si>
  <si>
    <t xml:space="preserve">DIRECCIÓN SECTOR MOVILIDAD </t>
  </si>
  <si>
    <t xml:space="preserve">200 - Instituto para la Economía Social – IPES. </t>
  </si>
  <si>
    <t xml:space="preserve">DIRECCIÓN SECTOR GESTIÓN JURIDICA </t>
  </si>
  <si>
    <t xml:space="preserve">201 - Fondo Financiero Distrital de Salud – FFDS. </t>
  </si>
  <si>
    <t xml:space="preserve">202 - Curaduría Urbana N° 1 de Bogotá. </t>
  </si>
  <si>
    <t xml:space="preserve">203 - Instituto Distrital de Gestión de Riesgos y Cambio Climático – IDIGER. </t>
  </si>
  <si>
    <t xml:space="preserve">204 - Instituto de Desarrollo Urbano – IDU. </t>
  </si>
  <si>
    <t xml:space="preserve">205 - Curaduría Urbana N° 2 de Bogotá. </t>
  </si>
  <si>
    <t xml:space="preserve">206 - Fondo de Prestaciones Económicas, Cesantías y Pensiones – FONCEP. </t>
  </si>
  <si>
    <t xml:space="preserve">207 - Curaduría Urbana N° 4 de Bogotá. </t>
  </si>
  <si>
    <t xml:space="preserve">208 - Caja de Vivienda Popular – CVP. </t>
  </si>
  <si>
    <t xml:space="preserve">209 - Curaduría Urbana N° 3 de Bogotá. </t>
  </si>
  <si>
    <t xml:space="preserve">210 - Curaduría Urbana N° 5 de Bogotá. </t>
  </si>
  <si>
    <t xml:space="preserve">211 - Instituto Distrital de Recreación y Deporte – IDRD. </t>
  </si>
  <si>
    <t xml:space="preserve">213 - Instituto Distrital de Patrimonio Cultural – IDPC. </t>
  </si>
  <si>
    <t>214 - Instituto Distrital para la Protección de la Niñez y la Juventud – IDIPRON.</t>
  </si>
  <si>
    <t xml:space="preserve">215 - Fundación Gilberto Álzate Avendaño – FUGA. </t>
  </si>
  <si>
    <t xml:space="preserve">216 - Orquesta Filarmónica de Bogotá – OFB. </t>
  </si>
  <si>
    <t xml:space="preserve">218 - Jardín Botánico José Celestino Mutis – JBJCM. </t>
  </si>
  <si>
    <t xml:space="preserve">219 - Instituto para la Investigación Educativa y el Desarrollo Pedagógico – IDEP. </t>
  </si>
  <si>
    <t xml:space="preserve">220 - Instituto Distrital de la Participación y Acción Comunal – IDPAC. </t>
  </si>
  <si>
    <t xml:space="preserve">221 - Instituto Distrital de Turismo – IDT. </t>
  </si>
  <si>
    <t xml:space="preserve">222 - Instituto Distrital de las Artes – IDARTES. </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</si>
  <si>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</si>
  <si>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</si>
  <si>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</si>
  <si>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 xml:space="preserve">229 - Instituto Distrital de Protección y Bienestar Animal – IDPYBA. </t>
  </si>
  <si>
    <t xml:space="preserve">230 - Universidad Distrital Francisco José de Caldas. </t>
  </si>
  <si>
    <t xml:space="preserve">240 - Lotería de Bogotá. </t>
  </si>
  <si>
    <t xml:space="preserve">260 - Canal Capital. </t>
  </si>
  <si>
    <t xml:space="preserve">262 - Empresa de Transporte del Tercer Milenio - Transmilenio S.A. </t>
  </si>
  <si>
    <t xml:space="preserve">263 - Empresa de Renovación y Desarrollo Urbano de Bogotá D.C. – ERU. </t>
  </si>
  <si>
    <t xml:space="preserve">264 - Aguas de Bogotá S.A. E.S.P. </t>
  </si>
  <si>
    <t xml:space="preserve">265 - Empresa de Acueducto y Alcantarillado de Bogotá, EAAB -E.S.P.  </t>
  </si>
  <si>
    <t xml:space="preserve">266 - Metro de Bogotá S.A. </t>
  </si>
  <si>
    <t xml:space="preserve">3 - Fondo de Desarrollo Local de Santa Fe. </t>
  </si>
  <si>
    <t xml:space="preserve">311 - Terminal de Transporte S.A.  </t>
  </si>
  <si>
    <t xml:space="preserve">317 - Corporación para el Desarrollo y la Productividad Bogotá Región - INVEST IN BOGOTÁ. </t>
  </si>
  <si>
    <t xml:space="preserve">4 - Fondo de Desarrollo Local de San Cristóbal. </t>
  </si>
  <si>
    <t xml:space="preserve">423 - Subred Integrada de Servicios de Salud Centro Oriente E.S.E.   </t>
  </si>
  <si>
    <t xml:space="preserve">424 - Subred Integrada de Servicios de Salud Sur Occidente E.S.E. </t>
  </si>
  <si>
    <t xml:space="preserve">425 - Subred Integrada de Servicios de Salud Sur E.S.E. </t>
  </si>
  <si>
    <t xml:space="preserve">426 - Subred Integrada de Servicios de Salud Norte E.S.E.  </t>
  </si>
  <si>
    <t xml:space="preserve">428 - Capital Salud. Entidad promotora de salud del régimen subsidiado S.A.S. - CAPITAL SALUD EPS-S S.A.S. </t>
  </si>
  <si>
    <t xml:space="preserve">429 - Instituto Distrital de Ciencia, Biotecnología e Innovación en Salud – IDCBIS. </t>
  </si>
  <si>
    <t xml:space="preserve">430 - Entidad de Gestión Administrativa y Técnica – EGAT. </t>
  </si>
  <si>
    <t>431 - ENEL Colombia S.A. E.S.P.</t>
  </si>
  <si>
    <t xml:space="preserve">5 - Fondo de Desarrollo Local de Usme. </t>
  </si>
  <si>
    <t xml:space="preserve">500 - Fondo Distrital para la Gestión de Riesgos y Cambio Climático de Bogotá D.C. –FONDIGER. </t>
  </si>
  <si>
    <t>501 -Agencia Distrital para la Educación Superior, la Ciencia y la Tecnología - ATENEA</t>
  </si>
  <si>
    <t xml:space="preserve">515 - Corporación Maloka de Ciencia, Tecnología e Innovación – MALOKA. </t>
  </si>
  <si>
    <t xml:space="preserve">6 - Fondo de Desarrollo Local de Tunjuelito. </t>
  </si>
  <si>
    <t xml:space="preserve">7 - Fondo de Desarrollo Local de Bosa. </t>
  </si>
  <si>
    <t xml:space="preserve">702 - Compañía de Distribución y Comercialización de Energía S.A. E.S.P. CODENSA S.A. E.S.P. </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</si>
  <si>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</si>
  <si>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</si>
  <si>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</si>
  <si>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</si>
  <si>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</si>
  <si>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</si>
  <si>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</si>
  <si>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</si>
  <si>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</si>
  <si>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 xml:space="preserve">8 - Fondo de Desarrollo Local de Kennedy. </t>
  </si>
  <si>
    <t xml:space="preserve">9 - Fondo de Desarrollo Local de Fontibón. </t>
  </si>
  <si>
    <t>ETAPA 1</t>
  </si>
  <si>
    <t>ETAPA 2</t>
  </si>
  <si>
    <t>ETAPA 3</t>
  </si>
  <si>
    <t>ETAPAS 2 Y 3</t>
  </si>
  <si>
    <t>% DE PAGOS
(Total Pagado /  Valor Contratos)</t>
  </si>
  <si>
    <t>Nivel de Riesgo de control fiscal en el Proceso de Gasto Público</t>
  </si>
  <si>
    <t>Adquisición de activos financieros</t>
  </si>
  <si>
    <t>Disminución de pasivos</t>
  </si>
  <si>
    <t>Gastos por tributos, tasas, contribuciones, multas, sanciones e intereses de mora</t>
  </si>
  <si>
    <t>Servicio de la deuda pública</t>
  </si>
  <si>
    <t xml:space="preserve">TOTAL </t>
  </si>
  <si>
    <t>Gastos de comercialización y producción</t>
  </si>
  <si>
    <t>CONTRATOS SUSCRITOS EN VIGENCIAS ANTERIORES CON GESTIÓN FISCAL EN LA VIGENCIA A AUDITAR  (AÑO n)</t>
  </si>
  <si>
    <t>ADICIONES A CONTRATOS SUSCRITOS EN VIGENCIAS ANTERIORES EFECTUADAS DENTRO DE LA VIGENCIA AUDITAR (AÑO n)</t>
  </si>
  <si>
    <t>ADICIONES A CONTRATOS SUSCRITOS EN VIGENCIAS ANTERIORES EFECTUADAS DENTRO DE LA VIGENCIA AUDITAR</t>
  </si>
  <si>
    <t>I. Seleccione la(s) unidad(es) de análisis de acuerdo al entendimiento del sujeto de control y el juicio profesional :</t>
  </si>
  <si>
    <t xml:space="preserve">UNIDAD DE ANÁLISIS </t>
  </si>
  <si>
    <t>ELEMENTOS DEL UNIVERSO</t>
  </si>
  <si>
    <t>VALOR TOTAL</t>
  </si>
  <si>
    <t>CONTRATOS SUSCRITOS EN LA VIGENCIA A AUDITAR</t>
  </si>
  <si>
    <t xml:space="preserve">OTRAS FORMAS DE EJECUCIÓN DEL GASTO DE LA VIGENCIA AUDITAR DIFERENTES A CONTRATACIÓN </t>
  </si>
  <si>
    <t xml:space="preserve">CONTRATOS SUSCRITOS EN VIGENCIAS ANTERIORES CON GESTIÓN FISCAL EN LA VIGENCIA A AUDITAR </t>
  </si>
  <si>
    <r>
      <t>MAXIMA CALIFICACION POSIBLE</t>
    </r>
    <r>
      <rPr>
        <sz val="10"/>
        <color indexed="8"/>
        <rFont val="Arial"/>
        <family val="2"/>
      </rPr>
      <t> </t>
    </r>
  </si>
  <si>
    <t>EEAAB234453</t>
  </si>
  <si>
    <t>Factura Acueducto</t>
  </si>
  <si>
    <t>NO APLICA</t>
  </si>
  <si>
    <r>
      <rPr>
        <b/>
        <sz val="11"/>
        <color theme="1" tint="0.249977111117893"/>
        <rFont val="Arial"/>
        <family val="2"/>
      </rPr>
      <t>OTRAS FORMAS DE EJECUCIÓN DEL GASTO</t>
    </r>
    <r>
      <rPr>
        <b/>
        <sz val="11"/>
        <color theme="1"/>
        <rFont val="Arial"/>
        <family val="2"/>
      </rPr>
      <t xml:space="preserve"> </t>
    </r>
    <r>
      <rPr>
        <b/>
        <u/>
        <sz val="11"/>
        <color theme="1"/>
        <rFont val="Arial"/>
        <family val="2"/>
      </rPr>
      <t xml:space="preserve">DIFERENTES A CONTRATACIÓN
</t>
    </r>
    <r>
      <rPr>
        <b/>
        <sz val="11"/>
        <color theme="0" tint="-4.9989318521683403E-2"/>
        <rFont val="Arial"/>
        <family val="2"/>
      </rPr>
      <t>(INCLUIR LOS ÍTEMS PERTINENTES AL SUJETO DE CONTROL)</t>
    </r>
  </si>
  <si>
    <t>VIGENCIA AUDITADA</t>
  </si>
  <si>
    <t>CODIGO AUDITORÍA</t>
  </si>
  <si>
    <t>Equipo Auditor:</t>
  </si>
  <si>
    <t>NOMBRE</t>
  </si>
  <si>
    <t>FIRMA</t>
  </si>
  <si>
    <t>CARGO</t>
  </si>
  <si>
    <t>SUJETOS DE CONTROL FISCAL</t>
  </si>
  <si>
    <t>REGIMEN</t>
  </si>
  <si>
    <t>INGRESOS</t>
  </si>
  <si>
    <t>Rango de Calificación</t>
  </si>
  <si>
    <t>CLASIFICACION PRESUPUESTAL</t>
  </si>
  <si>
    <t>Sujeto de Control</t>
  </si>
  <si>
    <t>TIPO DE MATRIZ
(Identificación de la matriz a aplicar)</t>
  </si>
  <si>
    <t>TIPO_ENTIDAD</t>
  </si>
  <si>
    <t>Columna1</t>
  </si>
  <si>
    <t>Columna2</t>
  </si>
  <si>
    <t>MACROPROCESO</t>
  </si>
  <si>
    <t>PUBLICA</t>
  </si>
  <si>
    <t>MIXTA&gt;50</t>
  </si>
  <si>
    <t>MIXTA&lt;50</t>
  </si>
  <si>
    <t>CORPORACION</t>
  </si>
  <si>
    <t xml:space="preserve">100000 - DIRECCIÓN SECTOR SALUD </t>
  </si>
  <si>
    <t>1 - Fondo de Desarrollo Local de Usaquén</t>
  </si>
  <si>
    <t>FDL</t>
  </si>
  <si>
    <t>12101 - GERENCIA LOCAL USAQUÉN</t>
  </si>
  <si>
    <t>SI</t>
  </si>
  <si>
    <t>&gt;=</t>
  </si>
  <si>
    <t>&lt;</t>
  </si>
  <si>
    <t>PUBLICA SIN GESTIÓN FINANCIERA</t>
  </si>
  <si>
    <t>PUBLICA con ing</t>
  </si>
  <si>
    <t>CON INGRESOS</t>
  </si>
  <si>
    <t>x</t>
  </si>
  <si>
    <t>GESTIÓN FINANCIERA</t>
  </si>
  <si>
    <t xml:space="preserve">110000 - DIRECCIÓN SECTOR GOBIERNO </t>
  </si>
  <si>
    <t>10 - Fondo de Desarrollo Local de Engativá</t>
  </si>
  <si>
    <t xml:space="preserve">12110 - GERENCIA LOCAL ENGATIVÁ </t>
  </si>
  <si>
    <t>EFICAZ</t>
  </si>
  <si>
    <t>GASTOS</t>
  </si>
  <si>
    <t>GESTIÓN PRESUPUESTAL</t>
  </si>
  <si>
    <t xml:space="preserve">12000 - DIRECCIÓN DE PARTICIPACIÓN CIUDADANA Y DESARROLLO LOCAL </t>
  </si>
  <si>
    <t>100 - Concejo de Bogotá D.C.</t>
  </si>
  <si>
    <t>No tiene</t>
  </si>
  <si>
    <t>NO</t>
  </si>
  <si>
    <t>GASTOS DE OPERACIÓN COMERCIAL</t>
  </si>
  <si>
    <t>PUBLICA SIN GESTIÓN FINANCIERA Y SIN CONTRATACION</t>
  </si>
  <si>
    <t>CONCEJO</t>
  </si>
  <si>
    <t>SIN INGRESOS</t>
  </si>
  <si>
    <t>Y RESULTADOS</t>
  </si>
  <si>
    <t xml:space="preserve">120000 - DIRECCIÓN SECTOR EQUIDAD Y GÉNERO </t>
  </si>
  <si>
    <t>102 - Personería de Bogotá</t>
  </si>
  <si>
    <t>100% publica</t>
  </si>
  <si>
    <t>INEFICAZ</t>
  </si>
  <si>
    <t>RESERVAS CONSTITUIDAS / OBLIGACIONES / CUENTAS POR PAGAR</t>
  </si>
  <si>
    <t>PUBLICA sin ing</t>
  </si>
  <si>
    <t>104 - Secretaría General de la Alcaldía Mayor de Bogotá, D.C. – SGAMB</t>
  </si>
  <si>
    <t>ABSTENCIÓN</t>
  </si>
  <si>
    <t>El Auditor no conto con información o tiene incertidumbre relevante de la información reflejada en los informes presupuestales</t>
  </si>
  <si>
    <t>PASIVOS EXIGIBLES</t>
  </si>
  <si>
    <t>PROCESO</t>
  </si>
  <si>
    <t>OPINIONES</t>
  </si>
  <si>
    <t>CONCEPTOS INVERSIÓN Y GASTO</t>
  </si>
  <si>
    <t xml:space="preserve">12102 - GERENCIA LOCAL CHAPINERO </t>
  </si>
  <si>
    <t>105 - Veeduría Distrital</t>
  </si>
  <si>
    <t>VIGENCIAS FUTURAS</t>
  </si>
  <si>
    <t>ESTADOS FINANCIEROS</t>
  </si>
  <si>
    <t>Limpia o Sin Salvedades</t>
  </si>
  <si>
    <t>12103 - GERENCIA LOCAL SANTAFÉ</t>
  </si>
  <si>
    <t>11 - Fondo de Desarrollo Local de Suba</t>
  </si>
  <si>
    <t xml:space="preserve">12111 - GERENCIA LOCAL SUBA </t>
  </si>
  <si>
    <t>DESEMPEÑO FINANCIERO</t>
  </si>
  <si>
    <t>Con Salvedades</t>
  </si>
  <si>
    <t xml:space="preserve">12104 - GERENCIA LOCAL SAN CRISTÓBAL </t>
  </si>
  <si>
    <t>110 - Secretaría Distrital de Gobierno – SDG</t>
  </si>
  <si>
    <t>EJECUCIÓN DE INGRESOS</t>
  </si>
  <si>
    <t>Negativa</t>
  </si>
  <si>
    <t xml:space="preserve">12105 - GERENCIA LOCAL USME </t>
  </si>
  <si>
    <t>111 - Secretaría Distrital de Hacienda – SDH</t>
  </si>
  <si>
    <t xml:space="preserve">150000 - DIRECCIÓN SECTOR HACIENDA </t>
  </si>
  <si>
    <t>PUBLICA CON GESTIÓN FINANCIERA</t>
  </si>
  <si>
    <t>EJECUCIÓN DE GASTOS o COSTOS Y GASTOS</t>
  </si>
  <si>
    <t>Abstención</t>
  </si>
  <si>
    <t xml:space="preserve">12106 - GERENCIA LOCAL TUNJUELLTO </t>
  </si>
  <si>
    <t>112 - Secretaría de Educación del Distrito – SED - Fondos de Servicios Educativos de los Colegios e Instituciones adscritas a la Secretaría de Educación del Distrito</t>
  </si>
  <si>
    <t xml:space="preserve">140000 - DIRECCIÓN SECTOR EDUCACIÓN </t>
  </si>
  <si>
    <t xml:space="preserve">12107 - GERENCIA LOCAL BOSA </t>
  </si>
  <si>
    <t>113 - Secretaría Distrital de Movilidad – SDM</t>
  </si>
  <si>
    <t xml:space="preserve">80000 - DIRECCIÓN SECTOR MOVILIDAD </t>
  </si>
  <si>
    <t xml:space="preserve">12108 - GERENCIA LOCAL KENNEDY </t>
  </si>
  <si>
    <t>114 - Secretaría Distrital de Salud – SDS</t>
  </si>
  <si>
    <t xml:space="preserve">12109 - GERENCIA LOCAL FONTIBÓN </t>
  </si>
  <si>
    <t>117 - Secretaría Distrital de Desarrollo Económico – SDDE</t>
  </si>
  <si>
    <t xml:space="preserve">190000 - DIRECCIÓN SECTOR DESARROLLO ECONÓMICO, INDUSTRIA Y TURISMO </t>
  </si>
  <si>
    <t>118 - Secretaría Distrital del Hábitat - SDHT</t>
  </si>
  <si>
    <t xml:space="preserve">130000 - DIRECCIÓN SECTOR HÁBITAT Y AMBIENTE </t>
  </si>
  <si>
    <t>119 - Secretaría Distrital de Cultura, Recreación y Deporte – SDCRD</t>
  </si>
  <si>
    <t xml:space="preserve">220000 - DIRECCIÓN SECTOR CULTURA, RECREACIÓN Y DEPORTE </t>
  </si>
  <si>
    <t xml:space="preserve">12112 - GERENCIA LOCAL BARRIOS UNIDOS </t>
  </si>
  <si>
    <t>12 - Fondo de Desarrollo Local de Barrios Unidos</t>
  </si>
  <si>
    <t xml:space="preserve">12113 - GERENCIA LOCAL TEUSAQUILLO </t>
  </si>
  <si>
    <t>120 - Secretaría Distrital de Planeación – SDP</t>
  </si>
  <si>
    <t xml:space="preserve">12114 - GERENCIA LOCAL MÁRTIRES </t>
  </si>
  <si>
    <t>121 - Secretaría Distrital de la Mujer – SDM</t>
  </si>
  <si>
    <t>12115 - GERENCIA LOCAL ANTONIO NARIÑO</t>
  </si>
  <si>
    <t>122 - Secretaría Distrital de Integración Social – SDIS</t>
  </si>
  <si>
    <t xml:space="preserve">200000 - DIRECCIÓN SECTOR INTEGRACIÓN SOCIAL </t>
  </si>
  <si>
    <t xml:space="preserve">12116 - GERENCIA LOCAL PUENTE ARANDA </t>
  </si>
  <si>
    <t>125 - Departamento Administrativo del Servicio Civil Distrital – DASCD</t>
  </si>
  <si>
    <t xml:space="preserve">12117 - GERENCIA LOCAL LA CANDELARIA </t>
  </si>
  <si>
    <t>126 - Secretaría Distrital de Ambiente – SDA</t>
  </si>
  <si>
    <t>12118 - GERENCIA LOCAL RAFAEL URIBE URIBE</t>
  </si>
  <si>
    <t>127 - Departamento Administrativo de la Defensoría del Espacio Público – DADEP</t>
  </si>
  <si>
    <t xml:space="preserve">12119 - GERENCIA LOCAL CIUDAD BOLIVAR </t>
  </si>
  <si>
    <t>13 - Fondo de Desarrollo Local de Teusaquillo</t>
  </si>
  <si>
    <t xml:space="preserve">12120 - GERENCIA LOCAL SUMAPAZ </t>
  </si>
  <si>
    <t>131 - Unidad Administrativa Especial del Cuerpo Oficial de Bomberos de Bogotá – UAECOB</t>
  </si>
  <si>
    <t>Unidad Administrativa Especial</t>
  </si>
  <si>
    <t>230000 - DIRECCIÓN SECTOR SEGURIDAD, CONVIVENCIA Y JUSTICIA</t>
  </si>
  <si>
    <t>136 - Secretaría Jurídica Distrital – SJD</t>
  </si>
  <si>
    <t xml:space="preserve">90000 - DIRECCIÓN SECTOR GESTIÓN JURIDICA </t>
  </si>
  <si>
    <t>137 - Secretaría Distrital de Seguridad, Convivencia y Justicia – SDSCJ</t>
  </si>
  <si>
    <t>14 - Fondo de Desarrollo Local de Los Mártires</t>
  </si>
  <si>
    <t>PLANES, PROGRAMAS Y PROYECTOS</t>
  </si>
  <si>
    <t>15 - Fondo de Desarrollo Local de Antonio Nariño</t>
  </si>
  <si>
    <t>PLAN ESTRATEGICO INSTITUCIONAL</t>
  </si>
  <si>
    <t>16 - Fondo de Desarrollo Local de Puente Aranda</t>
  </si>
  <si>
    <t>PLAN ESTRATEGICO CORPORATIVO o el que haga sus veces</t>
  </si>
  <si>
    <t>17 - Fondo de Desarrollo Local de La Candelaria</t>
  </si>
  <si>
    <t>18 - Fondo de Desarrollo Local de Rafael Uribe Uribe</t>
  </si>
  <si>
    <t>19 - Fondo de Desarrollo Local de Ciudad Bolívar</t>
  </si>
  <si>
    <t>2 - Fondo de Desarrollo Local de Chapinero</t>
  </si>
  <si>
    <t>20 - Fondo de Desarrollo Local de Sumapaz</t>
  </si>
  <si>
    <t>200 - Instituto para la Economía Social – IPES</t>
  </si>
  <si>
    <t>Establecimiento publico</t>
  </si>
  <si>
    <t>201 - Fondo Financiero Distrital de Salud – FFDS</t>
  </si>
  <si>
    <t>Fondo</t>
  </si>
  <si>
    <t>202 - Curaduría Urbana N° 1 de Bogotá</t>
  </si>
  <si>
    <t>Mixta</t>
  </si>
  <si>
    <t>203 - Instituto Distrital de Gestión de Riesgos y Cambio Climático – IDIGER</t>
  </si>
  <si>
    <t>204 - Instituto de Desarrollo Urbano – IDU</t>
  </si>
  <si>
    <t xml:space="preserve">206 - Fondo de Prestaciones Económicas, Cesantías y Pensiones – FONCEP </t>
  </si>
  <si>
    <t>205 - Curaduría Urbana N° 2 de Bogotá</t>
  </si>
  <si>
    <t>Menor 50%</t>
  </si>
  <si>
    <t>208 - Caja de Vivienda Popular – CVP</t>
  </si>
  <si>
    <t>211 - Instituto Distrital de Recreación y Deporte – IDRD</t>
  </si>
  <si>
    <t>207 - Curaduría Urbana N° 4 de Bogotá</t>
  </si>
  <si>
    <t>213 - Instituto Distrital de Patrimonio Cultural – IDPC</t>
  </si>
  <si>
    <t>214 - Instituto Distrital para la Protección de la Niñez y la Juventud – IDIPRON</t>
  </si>
  <si>
    <t>209 - Curaduría Urbana N° 3 de Bogotá</t>
  </si>
  <si>
    <t>215 - Fundación Gilberto Álzate Avendaño – FUGA</t>
  </si>
  <si>
    <t>210 - Curaduría Urbana N° 5 de Bogotá</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</si>
  <si>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</si>
  <si>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</si>
  <si>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</si>
  <si>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</si>
  <si>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</si>
  <si>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</si>
  <si>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 xml:space="preserve">  </t>
  </si>
  <si>
    <t>229 - Instituto Distrital de Protección y Bienestar Animal – IDPYBA</t>
  </si>
  <si>
    <t>230 - Universidad Distrital Francisco José de Caldas</t>
  </si>
  <si>
    <t>240 - Lotería de Bogotá</t>
  </si>
  <si>
    <t>PUBLICA CON GESTIÓN FINANCIERA Y CONTRATACIÓN MIXTA</t>
  </si>
  <si>
    <t>260 - Canal Capital</t>
  </si>
  <si>
    <t>Ente Autonomo</t>
  </si>
  <si>
    <t>264 - Aguas de Bogotá S.A. E.S.P.</t>
  </si>
  <si>
    <t>Empresa Industrial y Comercial</t>
  </si>
  <si>
    <t>268 - Operadora Distrital de Transporte S.A.S.</t>
  </si>
  <si>
    <t>MIXTA</t>
  </si>
  <si>
    <t>MIXTA&gt;50 sin ing</t>
  </si>
  <si>
    <t>3 - Fondo de Desarrollo Local de Santa Fe</t>
  </si>
  <si>
    <t>Publica con contratacion mixta</t>
  </si>
  <si>
    <t>4 - Fondo de Desarrollo Local de San Cristóbal</t>
  </si>
  <si>
    <t>Entidad Descentralizada</t>
  </si>
  <si>
    <t>PUBLICA CON PLAN ESTRATEGICO Y CONTRATACIÓN MIXTA</t>
  </si>
  <si>
    <t>Subred</t>
  </si>
  <si>
    <t>429 - Instituto Distrital de Ciencia, Biotecnología e Innovación en Salud – IDCBIS</t>
  </si>
  <si>
    <t>PUBLICA CON GESTIÓN FINANCIERA CON PLAN ESTRATEGICO</t>
  </si>
  <si>
    <t>430 - Entidad de Gestión Administrativa y Técnica – EGAT</t>
  </si>
  <si>
    <t>PUBLICA SIN GESTIÓN FINANCIERA Y CONTRATACIÓN MIXTA</t>
  </si>
  <si>
    <t>5 - Fondo de Desarrollo Local de Usme</t>
  </si>
  <si>
    <t>500 - Fondo Distrital para la Gestión de Riesgos y Cambio Climático de Bogotá D.C. –FONDIGER</t>
  </si>
  <si>
    <t>515 - Corporación Maloka de Ciencia, Tecnología e Innovación – MALOKA</t>
  </si>
  <si>
    <t>6 - Fondo de Desarrollo Local de Tunjuelito</t>
  </si>
  <si>
    <t>7 - Fondo de Desarrollo Local de Bosa</t>
  </si>
  <si>
    <t>8 - Fondo de Desarrollo Local de Kennedy</t>
  </si>
  <si>
    <t>9 - Fondo de Desarrollo Local de Fontibón</t>
  </si>
  <si>
    <t>MUESTRA</t>
  </si>
  <si>
    <t>ESTADOS FINANCIEROS - ESTADO DE SITUACIÓN FINANCIERA</t>
  </si>
  <si>
    <t>En Pesos $</t>
  </si>
  <si>
    <t>CRITERIOS DE SELECCIÓN DE LA MUESTRA</t>
  </si>
  <si>
    <t>CODIGO</t>
  </si>
  <si>
    <t>DESCRIPCIÓN CUENTA:
Clase/ Grupo/ Cuenta/ Subcuenta</t>
  </si>
  <si>
    <t>Variación absoluta</t>
  </si>
  <si>
    <t>Variación %</t>
  </si>
  <si>
    <t>Explicación de variaciones (Ver Notas a los Estados Financieros - Revelaciones)</t>
  </si>
  <si>
    <t>Participación % En función al activo</t>
  </si>
  <si>
    <t>Explicación de participaciones - Para las de Mayor %</t>
  </si>
  <si>
    <t>CUENTAS QUE PRESENTARON MAYOR VARIACIÓN (TRAER %)</t>
  </si>
  <si>
    <t>CUENTAS DE MAYOR PARTICIPACIÓN (TRAER %)</t>
  </si>
  <si>
    <t>CUENTAS QUE PRESENTARON HALLAZGOS POR INCORRECCIONES O IMPOSIBILIDADES EN EL INFORME ANTERIOR (MARCAR CON X)</t>
  </si>
  <si>
    <t>CUENTAS QUE POR PLAN DE MEJORAMIENTO SE DEBE EVALUAR EFECTIVIDAD</t>
  </si>
  <si>
    <t>CUENTAS SUCEPTIBLES DE SER INCLUIDAS EN LA MUESTRA (MARCAR CON X)</t>
  </si>
  <si>
    <t>CUENTAS QUE SEGÚN EL FORMATO: PVCGF-04-13 INSTRUMENTO DE RIESGOS Y CONTROLES PRESENTARON EL MAYOR RIESGO RESIDUAL (REGISTRAR: CRITICO, ALTO, MEDIO O BAJO)</t>
  </si>
  <si>
    <t>CUENTAS SOLICITADAS A AUDITAR POR ESTUDIOS DE ECONOMIA Y POLITICA PUBLICA</t>
  </si>
  <si>
    <t xml:space="preserve">MUESTRA DE AUDITORIA </t>
  </si>
  <si>
    <t>OBSERVACIONES DEL AUDITOR - JUSTIFICACIÓN DE LA SELECCIÓN</t>
  </si>
  <si>
    <t xml:space="preserve">Conclusiones generales </t>
  </si>
  <si>
    <t>Auditores:</t>
  </si>
  <si>
    <t>Gerente - Líder:</t>
  </si>
  <si>
    <r>
      <rPr>
        <b/>
        <sz val="11"/>
        <color theme="1"/>
        <rFont val="Arial"/>
        <family val="2"/>
      </rPr>
      <t xml:space="preserve">Nota 1: </t>
    </r>
    <r>
      <rPr>
        <sz val="11"/>
        <color theme="1"/>
        <rFont val="Arial"/>
        <family val="2"/>
      </rPr>
      <t>Con el diligenciamiento de este papel de Trabajo se pretende establecer el universo de los saldos de las cuentas del Estado de Situación Financiera del Sujeto de Control con corte a diciembre 31 de la vigencia a auditar y de esta esta forma establecer su participación % y principales variaciones con respecto a diciembre 31 del año anterior.</t>
    </r>
  </si>
  <si>
    <r>
      <rPr>
        <b/>
        <sz val="11"/>
        <color theme="1"/>
        <rFont val="Arial"/>
        <family val="2"/>
      </rPr>
      <t>Nota 2:</t>
    </r>
    <r>
      <rPr>
        <sz val="11"/>
        <color theme="1"/>
        <rFont val="Arial"/>
        <family val="2"/>
      </rPr>
      <t xml:space="preserve"> A partir de lo anterior, con fines de direccionar la Muestra a Seleccionar, se dará aplicación a los criterios establecidos para seleccionar la muestra.</t>
    </r>
  </si>
  <si>
    <t>Activo</t>
  </si>
  <si>
    <t>ESTADOS FINANCIEROS - ESTADO DE RESULTADOS</t>
  </si>
  <si>
    <t>Explicación de principales variaciones (Ver Notas a los Estados Financieros - Revelaciones)</t>
  </si>
  <si>
    <t>CUENTAS CORRELATIVAS A LAS CUENTAS DE BALANCE SELECCIONADAS EN LA MUESTRA</t>
  </si>
  <si>
    <t>Ingresos</t>
  </si>
  <si>
    <t>Código de Auditoría:</t>
  </si>
  <si>
    <t>ASPECTOS A TENER EN CUENTA PARA DEFINIR LA MATERIALIDAD CUANTITATIVA PARA ESTADOS FINANCIEROS EN SU CONJUNTO.</t>
  </si>
  <si>
    <r>
      <rPr>
        <b/>
        <sz val="12"/>
        <color theme="1"/>
        <rFont val="Arial"/>
        <family val="2"/>
      </rPr>
      <t xml:space="preserve">MATERIALIDAD CUANTITATIVA PARA LAS INCORRECCIONES E IMPOSIBILIDADES </t>
    </r>
    <r>
      <rPr>
        <sz val="12"/>
        <color theme="1"/>
        <rFont val="Arial"/>
        <family val="2"/>
      </rPr>
      <t xml:space="preserve">
Este instrumento está compuesto por las siguientes secciones:
1. Criterios para clasificación de riesgo del proceso de estados financieros.
2. Aplicación de criterios para la clasificación de riesgo del sujeto de vigilancia y control fiscal.
3. Base y Porcentaje referente Para Establecer La Materialidad.
4. materialidad determinada para el sujeto de vigilancia y control fiscal.
5. estructura de niveles, rangos para determinar la materialidad de los sujetos de vigilancia y control fiscal.
6. materialidad determinada para el sujeto de control y parametrización del momento en que surgen las opiniones modificadas.</t>
    </r>
  </si>
  <si>
    <r>
      <t xml:space="preserve">MATERIALIDAD </t>
    </r>
    <r>
      <rPr>
        <b/>
        <sz val="12"/>
        <color indexed="8"/>
        <rFont val="Arial"/>
        <family val="2"/>
      </rPr>
      <t>CUANTITATIVA - PARA INCORRECCIONES E IMPOSIBILIDADES O SU SUMATORIA</t>
    </r>
  </si>
  <si>
    <t>1. CRITERIOS PARA CLASIFICACIÓN DE RIESGO DEL PROCESO DE ESTADOS FINANCIEROS (Sección Informativa no requiere ningún diligenciamiento):</t>
  </si>
  <si>
    <t>Opinión auditoría Estados Financieros</t>
  </si>
  <si>
    <t>Calificación Control Interno Contable - Proceso Estados Financieros</t>
  </si>
  <si>
    <t>Fenecimiento de la cuenta</t>
  </si>
  <si>
    <t>Riesgo Residual o Combinado - Proceso Estados Financieros</t>
  </si>
  <si>
    <t>Sin salvedades</t>
  </si>
  <si>
    <t>Fenecida</t>
  </si>
  <si>
    <t>Con salvedades</t>
  </si>
  <si>
    <t>No fenecida</t>
  </si>
  <si>
    <t>Critico</t>
  </si>
  <si>
    <t>Dado que la materialidad se encuentra directamente relacionada con el nivel de riesgo del sujeto de control, en esta sección se presentan los criterios utilizados para establecer el nivel de riesgo de auditoría del proceso de Estados Financieros del Sujeto de Vigilancia y Control Fiscal, de los cuales 3 corresponden a la auditoría de Regularidad o Financiera y de Gestión anterior (Opinión sobre los Estados Financieros, la Calificación de Control Interno Contable y el Fenecimiento de la Cuenta) y uno a la presente auditoría que corresponde al Riesgo Residual o Combinado – Proceso Estados Financieros.</t>
  </si>
  <si>
    <t>2. APLICACIÓN DE CRITERIOS PARA LA CLASIFICACIÓN DE RIESGO DEL SUJETO DE VIGILANCIA Y CONTROL FISCAL</t>
  </si>
  <si>
    <t>Opinión auditoría anterior</t>
  </si>
  <si>
    <t>Fenecimiento de la cuenta
auditoría anterior</t>
  </si>
  <si>
    <t>De conformidad con la escala de valoración de los riesgos establecidos en el numeral 1 de este instructivo, el auditor deberá proceder a incorporar las calificaciones correspondientes utilizando las listas desplegables diseñadas para el efecto.
Los puntos se van acumulando en la medida en que el auditor selecciona cada una de las opciones y su sumatoria determina un nivel de riesgo</t>
  </si>
  <si>
    <t>3. BASE Y PORCENTAJE REFERENTE PARA ESTABLECER LA MATERIALIDAD (Sección Informativa no requiere ningún diligenciamiento):</t>
  </si>
  <si>
    <t>Bases</t>
  </si>
  <si>
    <t>Rango de Porcentajes</t>
  </si>
  <si>
    <t>Criterios para establecer el porcentaje de Materialidad</t>
  </si>
  <si>
    <t>Activos</t>
  </si>
  <si>
    <t>1 -3%</t>
  </si>
  <si>
    <t>De conformidad con el rango general establecido por   Guía para el uso de las Normas Internacionales de Pequeñas y Medianas Empresas - Guía Practica (Tercera edición) expedida por la Federación Internacional de Contadores - IFAC que va del 1% al 3%, se estableció la materialidad % por nivel.</t>
  </si>
  <si>
    <t>Pasivos (+) Patrimonio</t>
  </si>
  <si>
    <t>Para la Contraloría de Bogotá se determinó que la base a utilizar para determinar la materialidad serán los activos y el rango de porcentajes a aplicar se adoptó de la Guía para el uso de las Normas Internacionales de Pequeñas y Medianas Empresas - Guía Práctica expedida por la IFAC.</t>
  </si>
  <si>
    <t>4. ESTRUCTURA DE NIVELES, RANGOS PARA DETERMINAR LA MATERIALIDAD DE LOS SUJETOS DE VIGILANCIA Y CONTROL FISCAL (Sección Informativa no requiere ningún diligenciamiento):</t>
  </si>
  <si>
    <t>Sumatoria puntaje de variables y agrupaciones de los sujetos por NIVEL</t>
  </si>
  <si>
    <t>Calificación de criterios de gestión</t>
  </si>
  <si>
    <t>Rango establecido para determinar Materialidad</t>
  </si>
  <si>
    <t>% Materialidad establecido según nivel de riesgo del sujeto de control</t>
  </si>
  <si>
    <t>Aspectos considerados para determinar el % de Materialidad</t>
  </si>
  <si>
    <t>MEJOR CALIFICACIÓN</t>
  </si>
  <si>
    <t>Entre &gt;2,3% y &lt;=3%</t>
  </si>
  <si>
    <t>A menor puntaje de la calificación de las variables de auditoría (Mejores resultados), mayor tolerancia o porcentaje de materialidad cuantitativa.</t>
  </si>
  <si>
    <t>NIVEL 2
Entre 8 y 11 Puntos</t>
  </si>
  <si>
    <t>CALIFICACIÓN INTERMEDIA</t>
  </si>
  <si>
    <t>Entre &gt;1,7% y &lt;=2,3%</t>
  </si>
  <si>
    <t>En virtud a la rigurosidad de los rangos determinados, se consideró el límite superior por ser el más objetivo para el sujeto de vigilancia y control fiscal.</t>
  </si>
  <si>
    <t>NIVEL 3
Entre 12 y 16 Puntos</t>
  </si>
  <si>
    <t>PEOR CALIFICACION</t>
  </si>
  <si>
    <t>Entre &gt;=1,0% y &lt;=1,7%</t>
  </si>
  <si>
    <t>A partir del numeral 3 de este instructivo, se crearon tres niveles de riesgo según la sumatoria mínima y máxima de los criterios aplicados en el numeral 2 de este instructivo, para los cuales se fijaron rangos porcentuales proporcionales y a partir de estos se tomó el límite superior de cada uno de ellos, porcentaje que se aplicara al valor total de los activos.
Entre más alta es la sumatoria de puntos, menor será el rango porcentual y por lo tanto la materialidad. Si, por ejemplo, el sujeto auditado dispone de un control interno efectivo, y baja probabilidad de que los riesgos puedan materializarse, el nivel será uno (1) y la materialidad podrá ser mayor; por el contrario, si el control interno no es efectivo y el auditor interpreta que los riesgos puedan materializarse, se aplica un porcentaje menor.</t>
  </si>
  <si>
    <t>5. MATERIALIDAD DETERMINADA PARA EL SUJETO DE VIGILANCIA Y CONTROL FISCAL</t>
  </si>
  <si>
    <t>Suma de puntos</t>
  </si>
  <si>
    <t>Base seleccionada</t>
  </si>
  <si>
    <t>Monto Total</t>
  </si>
  <si>
    <t>% Materialidad establecido según nivel de Riesgo del Sujeto de Control</t>
  </si>
  <si>
    <t>Valor Materialidad en Pesos</t>
  </si>
  <si>
    <t>Esta sección se alimenta automáticamente al diligenciar lo establecido en el numeral 2 de este instructivo. El auditor solamente debe registrar el valor total de los activos y automáticamente le generara el valor de la materialidad en pesos.</t>
  </si>
  <si>
    <t>6. PARAMETRIZACIÓN DE LAS INCORRECCIONES + LAS IMPOSIBILIDADES QUE DARÍAN LUGAR A OPINIONES MODIFICADAS (Sección que se procesa de manera automática, no requiere diligenciamiento):</t>
  </si>
  <si>
    <t xml:space="preserve">SUMA DE LOS %(S) Y DE LOS VALORES DE LAS INCORRECCIONES MAS LAS IMPOSIBILIDADES QUE GENERAN OPINIÓN MODIFICADA SEGÚN EL NIVEL </t>
  </si>
  <si>
    <t>MATERIALIDAD DETERMINADA PARA EL SUJETO DE CONTROL</t>
  </si>
  <si>
    <t>SIN SALVEDADES</t>
  </si>
  <si>
    <t>MATERIALES NO GENERALIZADAS = CON SALVEDADES</t>
  </si>
  <si>
    <t>MATERIALES GENERALIZADAS = NEGATIVA/ ABSTENCIÓN</t>
  </si>
  <si>
    <t>Base Seleccionada</t>
  </si>
  <si>
    <t>Monto</t>
  </si>
  <si>
    <t>MENOR QUE 1 VEZ</t>
  </si>
  <si>
    <t>MAYOR O IGUAL QUE 1 Y MENOR QUE 5 VECES</t>
  </si>
  <si>
    <t>IGUAL O MAYOR  QUE 5 VECES</t>
  </si>
  <si>
    <t>En %</t>
  </si>
  <si>
    <t>Menor que</t>
  </si>
  <si>
    <t>Entre</t>
  </si>
  <si>
    <t>y menor que</t>
  </si>
  <si>
    <t>En Pesos</t>
  </si>
  <si>
    <t xml:space="preserve">CONCLUSION: </t>
  </si>
  <si>
    <t xml:space="preserve">Fecha Inicio: </t>
  </si>
  <si>
    <t>Fecha Terminación:</t>
  </si>
  <si>
    <t>Elaborado por:</t>
  </si>
  <si>
    <t xml:space="preserve">Firma:  </t>
  </si>
  <si>
    <t xml:space="preserve">Revisado por: </t>
  </si>
  <si>
    <t xml:space="preserve">Firma: </t>
  </si>
  <si>
    <t xml:space="preserve">Fecha de Revisión: </t>
  </si>
  <si>
    <t>CÁLCULO  MATERIALIDAD DE PLANEACIÓN - MP PRESUPUESTAL</t>
  </si>
  <si>
    <t>Entidad auditada:</t>
  </si>
  <si>
    <t>Periodo auditado:</t>
  </si>
  <si>
    <t xml:space="preserve"> De 1.0 a 1.5</t>
  </si>
  <si>
    <t>Fecha de realización</t>
  </si>
  <si>
    <t>De &gt; 1.5 a &lt; 2.0</t>
  </si>
  <si>
    <t xml:space="preserve">Con deficiencias </t>
  </si>
  <si>
    <t>Referenciación:</t>
  </si>
  <si>
    <t xml:space="preserve"> De 2.0 a 3.0</t>
  </si>
  <si>
    <r>
      <t xml:space="preserve">MATERIALIDAD </t>
    </r>
    <r>
      <rPr>
        <b/>
        <sz val="12"/>
        <color indexed="8"/>
        <rFont val="Calibri"/>
        <family val="2"/>
        <scheme val="minor"/>
      </rPr>
      <t>PARA CONCEPTO GESTION PRESUPUESTAL</t>
    </r>
  </si>
  <si>
    <t>I. Seleccione primero las opciones de ayudas de antecedentes. Ingrese manualmente el valor de la base escogida a 31 de diciembre de la vigencia auditada e ingrese manualmente el porcentaje, tenga en cuenta que debe estar dentro del rango.</t>
  </si>
  <si>
    <t>Concepto auditoría anterior</t>
  </si>
  <si>
    <t>Calificación Control Interno
auditoría anterior</t>
  </si>
  <si>
    <t>Diseño del control de la auditoría actual</t>
  </si>
  <si>
    <t>Riesgo combinado de la
 auditoría actual</t>
  </si>
  <si>
    <t>SUMA DE PUNTOS</t>
  </si>
  <si>
    <t>% DE MATERIALIDAD - LA BASE SOBRE EL VR DE LOS INGRESOS Y GASTOS PRESUPUESTALES EJECUTADOS</t>
  </si>
  <si>
    <t>% DE MATERIALIDAD SELECCIONADO EN EL RANGO</t>
  </si>
  <si>
    <r>
      <t xml:space="preserve">Nivel 1 </t>
    </r>
    <r>
      <rPr>
        <b/>
        <sz val="10"/>
        <color theme="1"/>
        <rFont val="Calibri"/>
        <family val="2"/>
        <scheme val="minor"/>
      </rPr>
      <t xml:space="preserve"> (0 - 5 Puntos)</t>
    </r>
  </si>
  <si>
    <t>Mejor calificación</t>
  </si>
  <si>
    <t>Entre &gt;2,08% y &lt;=3,0%</t>
  </si>
  <si>
    <r>
      <t>Nivel 2</t>
    </r>
    <r>
      <rPr>
        <b/>
        <sz val="10"/>
        <color theme="1"/>
        <rFont val="Calibri"/>
        <family val="2"/>
        <scheme val="minor"/>
      </rPr>
      <t xml:space="preserve"> (6 - 10 Puntos)</t>
    </r>
  </si>
  <si>
    <t>Calificación intermedia</t>
  </si>
  <si>
    <t>Entre &gt;1,17% y &lt;=2,08%</t>
  </si>
  <si>
    <r>
      <t>Nivel 3</t>
    </r>
    <r>
      <rPr>
        <b/>
        <sz val="10"/>
        <color theme="1"/>
        <rFont val="Calibri"/>
        <family val="2"/>
        <scheme val="minor"/>
      </rPr>
      <t xml:space="preserve"> (11 - 15 Puntos)</t>
    </r>
  </si>
  <si>
    <t>Baja calificación</t>
  </si>
  <si>
    <t>Entre &gt;=0,25% y &lt;=1,17%</t>
  </si>
  <si>
    <t xml:space="preserve">Valor Materialidad </t>
  </si>
  <si>
    <t>Cuenta</t>
  </si>
  <si>
    <t>Subcuenta</t>
  </si>
  <si>
    <t>Valor Rubro $</t>
  </si>
  <si>
    <t>Valor Materialidad $</t>
  </si>
  <si>
    <t>GASTOS DE COMERCIALIZACIÓN Y PRODUCCIÓN</t>
  </si>
  <si>
    <t>Materiales y Suministros</t>
  </si>
  <si>
    <t>Adquisición de Servicios</t>
  </si>
  <si>
    <t>RESERVAS PRESUPUESTALES CONSTITUIDAS</t>
  </si>
  <si>
    <t>CUENTAS POR PAGAR</t>
  </si>
  <si>
    <t>OBLIGACIONES POR PAGAR</t>
  </si>
  <si>
    <r>
      <rPr>
        <b/>
        <u/>
        <sz val="11"/>
        <color theme="1"/>
        <rFont val="Calibri"/>
        <family val="2"/>
        <scheme val="minor"/>
      </rPr>
      <t>Justificación para seleccionar el porcentaje.  Entre 0,25% y 1,17%.</t>
    </r>
    <r>
      <rPr>
        <sz val="11"/>
        <color theme="1"/>
        <rFont val="Calibri"/>
        <family val="2"/>
        <scheme val="minor"/>
      </rPr>
      <t xml:space="preserve"> </t>
    </r>
    <r>
      <rPr>
        <sz val="11"/>
        <color indexed="8"/>
        <rFont val="Calibri"/>
        <family val="2"/>
        <scheme val="minor"/>
      </rPr>
      <t xml:space="preserve">Se escogio el porcentaje, 0.7%  % teniendo en cuenta la ejecución del presupuesto de inversión de la entidad. Se estimo un riesgo combinado medio y un diseño de controles parcialmente adecuado.
</t>
    </r>
    <r>
      <rPr>
        <u/>
        <sz val="11"/>
        <color indexed="8"/>
        <rFont val="Calibri"/>
        <family val="2"/>
        <scheme val="minor"/>
      </rPr>
      <t xml:space="preserve">
</t>
    </r>
  </si>
  <si>
    <t>MATERIALIDAD DE PLANEACIÓN CUALITATIVA</t>
  </si>
  <si>
    <t>Se considerarán criterios cualitativos los relacionados con clasificación, revelación, presentación o circunstancias. Debe delimitarse muy bien el nivel de la MP, teniendo en cuenta que es posible que la situacion no se pueda valorar. Debe definirse claramente la condición de la operación, transacción, rubro o circunstancia, que lo convierten en material.</t>
  </si>
  <si>
    <t>BASE SELECCIONADA</t>
  </si>
  <si>
    <t>%</t>
  </si>
  <si>
    <t>Criterio cualitativo</t>
  </si>
  <si>
    <t>Condición de la operación, transacción, saldo o circunstancia para que sea material</t>
  </si>
  <si>
    <t>MP</t>
  </si>
  <si>
    <t xml:space="preserve">Nivel aceptado de MP Cualitativa </t>
  </si>
  <si>
    <t>Circunstancia</t>
  </si>
  <si>
    <t>Por debajo de lo estimado</t>
  </si>
  <si>
    <t>Generalmente se toma entre un 60% a 80% de la MP cuantitativa, en la primera fila elija un porcentaje entre este rango para las cuentas a nivel general. Sin embargo, es posible que existan saldos, transacciones u operaciones especificos en los que deban definirse niveles más bajos de ME, documentelos en las filas siguientes (inserte las necesarias).</t>
  </si>
  <si>
    <t>Cuentas a nivel general</t>
  </si>
  <si>
    <t>Saldos, transacciones u operaciones especificas presupuestales</t>
  </si>
  <si>
    <t>NIVEL DE INCORRECCIONES CLARAMENTE INSIGNIFICANTES</t>
  </si>
  <si>
    <t>Se puede determinar un valor por debajo del cual las incorrecciones se consideren claramente insignificantes y, por lo tanto no es necesario acumularlas porque se espera que su acumulación no tendrá un efecto material sobre los estados financieros. Pueden ser de tipo cuantitativo o de tipo cualitativo.  Si es de tipo cuantitativo puede tomar entre el rango del 2% al 8%  de la MP cuantitativa.</t>
  </si>
  <si>
    <t>Valor tipo cuantitativo</t>
  </si>
  <si>
    <t xml:space="preserve">MP Incorrecciones insignificantes </t>
  </si>
  <si>
    <t>Descripción tipo cualitativo</t>
  </si>
  <si>
    <t>SSS</t>
  </si>
  <si>
    <t>Diseño y formulación: Esmeralda Martín y Joaquin Leal</t>
  </si>
  <si>
    <t>Rol:</t>
  </si>
  <si>
    <t>Firma</t>
  </si>
  <si>
    <t>Calificación CI vigencia anterior</t>
  </si>
  <si>
    <t>Riesgo combinado</t>
  </si>
  <si>
    <t>Diseño del control</t>
  </si>
  <si>
    <t>CRITERIOS</t>
  </si>
  <si>
    <t>EXISTENCIA DE HALLAZGOS VIGENCIAS ANTERIORES</t>
  </si>
  <si>
    <t>Opinión presupuestal</t>
  </si>
  <si>
    <t>RIESGO COMBINADO VIGENCIA AUDITADA</t>
  </si>
  <si>
    <t>DISEÑO DEL CONTROL VIGENCIA AUDITADA</t>
  </si>
  <si>
    <t xml:space="preserve">bases presupuesto </t>
  </si>
  <si>
    <t xml:space="preserve">BASES FINANCIERA </t>
  </si>
  <si>
    <t>Negativa o abstención</t>
  </si>
  <si>
    <t>Alto-Crítico</t>
  </si>
  <si>
    <t>Superavit o deficit</t>
  </si>
  <si>
    <t>Fiscales o penales</t>
  </si>
  <si>
    <t>No razonable o abstención</t>
  </si>
  <si>
    <t>Inadecuado o inexistente</t>
  </si>
  <si>
    <t>Programación de ingresos</t>
  </si>
  <si>
    <t>Incorrección en cuentas del Activo</t>
  </si>
  <si>
    <t>Parcialmente adecuado</t>
  </si>
  <si>
    <t>Ingresos o gastos</t>
  </si>
  <si>
    <t>Disciplinarios</t>
  </si>
  <si>
    <t>Ejecución de ingresos</t>
  </si>
  <si>
    <t>Incorreccion en la cuenta del Patrimonio</t>
  </si>
  <si>
    <t>Utilidad bruta</t>
  </si>
  <si>
    <t>Administrativos</t>
  </si>
  <si>
    <t>Razonable</t>
  </si>
  <si>
    <t>Adecuado</t>
  </si>
  <si>
    <t>Programación de gastos</t>
  </si>
  <si>
    <t xml:space="preserve">Incorreccion en la cuenta del Pasivo </t>
  </si>
  <si>
    <t>Patrimonio o pasivos</t>
  </si>
  <si>
    <t>Ejecución de gastos</t>
  </si>
  <si>
    <t xml:space="preserve">INGRESOS </t>
  </si>
  <si>
    <t>UTILIDAD O PÉRDIDA</t>
  </si>
  <si>
    <t>Utilidad antes de impuestos</t>
  </si>
  <si>
    <t>UTILIDAD BRUTA</t>
  </si>
  <si>
    <t>Fecha realización:</t>
  </si>
  <si>
    <t>Fecha revisión:</t>
  </si>
  <si>
    <t>Claudia López</t>
  </si>
  <si>
    <t>Programa 1</t>
  </si>
  <si>
    <t>Proyecto No. 1</t>
  </si>
  <si>
    <t>Meta 1</t>
  </si>
  <si>
    <t>Carlos Galán</t>
  </si>
  <si>
    <t>Meta 2</t>
  </si>
  <si>
    <t>Eje 1</t>
  </si>
  <si>
    <t>Meta 3</t>
  </si>
  <si>
    <t>Proyecto No. 5</t>
  </si>
  <si>
    <t>Programa 2</t>
  </si>
  <si>
    <t>Meta 4</t>
  </si>
  <si>
    <t>rrrrr</t>
  </si>
  <si>
    <t>Eje 2</t>
  </si>
  <si>
    <t>uuuuu</t>
  </si>
  <si>
    <t>ooooo</t>
  </si>
  <si>
    <t>ppppp</t>
  </si>
  <si>
    <t>1. UNIVERSO Y MUESTRA DEL ESTADO DE SITUACION FINANCIERA Y DEL ESTADO DE RESULTADOS</t>
  </si>
  <si>
    <t>GRUPO</t>
  </si>
  <si>
    <t>SALDOS SEGÚN ESTADOS FINACIEROS</t>
  </si>
  <si>
    <t>SUMA DE LOS SALDOS POSITIVOS Y NEGATIVOS DE LOS ESTADOS FINANCIEROS</t>
  </si>
  <si>
    <t>PART % DE LA MUESTRA</t>
  </si>
  <si>
    <t>TOTAL ACTIVOS</t>
  </si>
  <si>
    <t>TOTAL PASIVO + PATRIMONIO</t>
  </si>
  <si>
    <t>TOTAL INGRESOS</t>
  </si>
  <si>
    <t>TOTAL GASTOS</t>
  </si>
  <si>
    <r>
      <t>Los saldos del grupo total de Activos, Pasivos y Patrimonio según Estados Financieros, la suma de los saldos positivos y negativos de los estados financieros, la Muestra y la participación (%) de la muestra, no se deben digitar, toda vez que estos se obtendrán automáticamente producto del diligenciamiento de la segunda sección “</t>
    </r>
    <r>
      <rPr>
        <i/>
        <sz val="12"/>
        <rFont val="Arial"/>
        <family val="2"/>
      </rPr>
      <t>INCORRECCIONES E IMPOSIBILIDADES DEL ESTADO DE SITUACIÓN FINANCIERA POR CUENTAS - HALLAZGOS FORMULADOS</t>
    </r>
    <r>
      <rPr>
        <sz val="12"/>
        <rFont val="Arial"/>
        <family val="2"/>
      </rPr>
      <t>”. Mientras que los totales de Ingresos y Gastos y su muestra si deberán ser diligenciados por cada auditor.
Esta sección nos permitirá establecer, además de la muestra evaluada por grupo de cuentas, la consistencia con la muestra establecida en el Plan de Trabajo, obteniéndose una visión general del auditaje realizado. Así mismo, servirá de insumo para ajustar futuros procesos a evaluar; en casos de muestras no representativas donde se desborde la capacidad operativa de los contadores comisionados, frente a la complejidad y magnitud de las operaciones del sujeto auditado; situaciones en la que los Directores Sectoriales deberán reforzar el equipo de contadores comisionados para que se pueda dar cumplimiento a los objetivos planteados para este proceso y se minimicen los riesgos de auditoría.</t>
    </r>
  </si>
  <si>
    <t>2. INCORRECCIONES E IMPOSIBILIDADES DEL ESTADO DE SITUACIÓN FINANCIERA POR CUENTAS - HALLAZGOS FORMULADOS</t>
  </si>
  <si>
    <t>CALIFICACIÓN OPINIÓN ESTADOS FINANCIEROS</t>
  </si>
  <si>
    <t>CIFRAS EN</t>
  </si>
  <si>
    <t>PESOS</t>
  </si>
  <si>
    <t>VALOR DIFERENCIAS ABSOLUTAS</t>
  </si>
  <si>
    <t>CODIGO DE LA CUENTA</t>
  </si>
  <si>
    <r>
      <t xml:space="preserve">CUENTA DEL </t>
    </r>
    <r>
      <rPr>
        <b/>
        <sz val="12"/>
        <rFont val="Arial"/>
        <family val="2"/>
      </rPr>
      <t>ACTIVO</t>
    </r>
    <r>
      <rPr>
        <b/>
        <sz val="11"/>
        <rFont val="Arial"/>
        <family val="2"/>
      </rPr>
      <t xml:space="preserve">
</t>
    </r>
    <r>
      <rPr>
        <b/>
        <sz val="9"/>
        <rFont val="Arial"/>
        <family val="2"/>
      </rPr>
      <t>(SI LA CUENTA NO FUE AUDITADA SE REGISTRA A NIVEL DE 4 DIGITOS - SI FUE AUDITADA AL MAYOR NIVEL DE DESAGREGACIÓN)</t>
    </r>
  </si>
  <si>
    <t>SALDO SEGÚN ESTADO DE SITUACIÓN FINANCIERA</t>
  </si>
  <si>
    <t>MUESTRA DE AUDITORIA (Relacione con signo positivo todos los valores seleccionados)</t>
  </si>
  <si>
    <t>SOBRESTIMACION
(Relacione con signo positivo el valor</t>
  </si>
  <si>
    <t>SUBESTIMACION
(Relacione con signo positivo el valor)</t>
  </si>
  <si>
    <t>TOTAL
INCORRECCIONES (Relacione con signo positivo el valor)</t>
  </si>
  <si>
    <t>TOTAL IMPOSIBILIDADES (Relacione con signo positivo el valor)</t>
  </si>
  <si>
    <t>SUMATORIA TOTAL DE INCORRECCIONES + TOTAL DE IMPOSIBILIDADES</t>
  </si>
  <si>
    <t>ORIGEN DE LA IMPOSIBILIDAD</t>
  </si>
  <si>
    <t>TIPO DE HALLAZGO</t>
  </si>
  <si>
    <t>NUMERAL DEL HALLAZGO DEL INFORME FINAL</t>
  </si>
  <si>
    <t>Administrativo</t>
  </si>
  <si>
    <t>Información Inexistente</t>
  </si>
  <si>
    <t>Información Incompleta</t>
  </si>
  <si>
    <t>TOTAL ACTIVO</t>
  </si>
  <si>
    <t>INDICE</t>
  </si>
  <si>
    <r>
      <t xml:space="preserve">CUENTA DEL </t>
    </r>
    <r>
      <rPr>
        <b/>
        <sz val="12"/>
        <rFont val="Arial"/>
        <family val="2"/>
      </rPr>
      <t>PASIVO Y PATRIMONIO</t>
    </r>
    <r>
      <rPr>
        <b/>
        <sz val="11"/>
        <rFont val="Arial"/>
        <family val="2"/>
      </rPr>
      <t xml:space="preserve">
(</t>
    </r>
    <r>
      <rPr>
        <b/>
        <sz val="9"/>
        <rFont val="Arial"/>
        <family val="2"/>
      </rPr>
      <t>SI LA CUENTA NO FUE AUDITADA SE REGISTRA A NIVEL DE 4 DIGITOS - SI FUE AUDITADA AL MAYOR NIVEL DE DESAGREGACIÓN)</t>
    </r>
  </si>
  <si>
    <t>Información Inoportuna</t>
  </si>
  <si>
    <t>TOTAL PASIVO Y PATRIMONIO</t>
  </si>
  <si>
    <t xml:space="preserve">INDICE </t>
  </si>
  <si>
    <r>
      <t xml:space="preserve">INDICE PREDOMINANTE </t>
    </r>
    <r>
      <rPr>
        <u/>
        <sz val="11"/>
        <color indexed="10"/>
        <rFont val="Arial"/>
        <family val="2"/>
      </rPr>
      <t>EN %</t>
    </r>
  </si>
  <si>
    <r>
      <t xml:space="preserve">INDICE PREDOMINANTE </t>
    </r>
    <r>
      <rPr>
        <u/>
        <sz val="11"/>
        <color indexed="10"/>
        <rFont val="Arial"/>
        <family val="2"/>
      </rPr>
      <t>EN PESOS</t>
    </r>
  </si>
  <si>
    <r>
      <rPr>
        <b/>
        <sz val="11"/>
        <rFont val="Arial"/>
        <family val="2"/>
      </rPr>
      <t>INSTRUCCIONES PARA EL DILIGENCIAMIENTO DE ESTA SECCIÓN:</t>
    </r>
    <r>
      <rPr>
        <sz val="11"/>
        <rFont val="Arial"/>
        <family val="2"/>
      </rPr>
      <t xml:space="preserve">
•	COLUMNA A: CÓDIGO DE LA CUENTA: Digite en esta casilla, según el grupo al que corresponda (Activo, Pasivo y Patrimonio) el código numérico de la cuenta que presenta el sujeto de control en el Estado de Situación financiera, de acuerdo al catálogo general de cuentas aplicable, establecido por la Contaduría General de la Nación.
•	COLUMNA B: CUENTA DEL ACTIVO/ PASIVO O PATRIMONIO: Digite en esta casilla, según el grupo al que corresponda (Activo, Pasivo y Patrimonio) el nombre de la cuenta que presenta el sujeto de control en el Estado de Situación financiera, de acuerdo al catálogo general de cuentas aplicable, establecido por la Contaduría General de la Nación.
•	COLUMNA C: SALDO SEGÚN ESTADO DE SITUACIÓN FINANCIERA: Digite en esta casilla, según el grupo al que corresponda (Activo, Pasivo y Patrimonio) el saldo de la cuenta que presenta el sujeto de control en el Estado de Situación financiera, de acuerdo al catálogo general de cuentas aplicable, establecido por la Contaduría General de la Nación.
•	COLUMNA D: MUESTRA DE AUDITORÍA: Digite en esta casilla, según el grupo al que corresponda (Activo, Pasivo y Patrimonio) el saldo de la cuenta que fue auditada y deje en blanco las no auditadas.
Nota: Para las cuentas auditadas o que presentan saldo en la columna D, se deberán adecuar y presentar las Columnas A, B y C al mayor nivel de desagregación. Lo anterior para efectos de puntualizar la cuenta y saldo auditado, la representatividad de la muestra y determinar e identificar adecuadamente las cuentas que presentan incorrecciones e imposibilidades. Relacione en la columna los valores con signo positivo todos los valores seleccionados.
Para las cuentas no auditadas, su presentación en todos los campos se efectuará a nivel de 4 dígitos.
•	COLUMNA E: SOBRESTIMACIÓN: Registre en las celdas de esta columna el valor resultante de la sumatoria de las incorrecciones establecidas por el auditor para cada cuenta auditada, cuando el saldo presentado por el sujeto de control, sea mayor al establecido por el auditor. A manera de ejemplo: Si la cuenta Muebles y Enseres presento un saldo a diciembre 31 de 20xx de $150.000.000 y dentro de este se incluyeron $30.000.000 por concepto de bienes que la entidad dio de baja y cuyo retiro no fue registrado, este valor deberá ser registrado en esta columna. Relacione con signo positivo el valor.
•	COLUMNA F: SUBESTIMACIÓN: Registre en las celdas de esta columna el valor resultante de la sumatoria de las incorrecciones establecidas por el auditor para cada cuenta auditada, cuando el saldo presentado por el sujeto de control, sea menor al establecido por el auditor. A manera de ejemplo: Si la cuenta Muebles y Enseres que presento un saldo a diciembre 31 de 20xx de $150.000.000 y dentro de este se incluyeron $50.000.000 por concepto de bienes adquiridos que no fueron registrados, este valor deberá ser registrado en esta columna. Relacione con signo positivo el valor.</t>
    </r>
  </si>
  <si>
    <r>
      <t xml:space="preserve">•	COLUMNA G: TOTAL INCORRECCIONES: Las celdas de esta columna no se diligencian, toda vez que se generan automáticamente producto de la suma de las celdas de las columnas E (SOBRESTIMACIÓN) + F (SUBESTIMACIÓN). Relacione con signo positivo el valor.
•	COLUMNA H: TOTAL IMPOSIBILIDADES: Registre en las celdas de esta columna el valor resultante de la sumatoria de los saldos presentados por el sujeto de control de las cuentas objeto de análisis, sobre los cuales no se logró obtener evidencia válida y suficiente sobre su razonabilidad. A manera de ejemplo, cuando al examinar la cuenta Anticipos, se observa que en los registros no se encuentra identificado el tercero deudor y los documentos soportes no justifican los hechos económicos, afectando el saldo del Grupo Deudores. Relacione con signo positivo el valor.
Nota: En la medida de lo posible, identificar al máximo nivel de cuenta, el saldo u operaciones sobre los cuales se evidencia la imposibilidad para evitar generalizar esta condición a otras cuentas que no les aplique.
•	COLUMNA I:	SUMATORIA TOTAL DE INCORRECCIONES + TOTAL DE IMPOSIBILIDADES: Las celdas de esta columna no se diligencian, toda vez que se generan automáticamente producto de la suma de las celdas de las columnas G (TOTAL INCORRECCIONES) y H (TOTAL IMPOSIBILIDADES).
</t>
    </r>
    <r>
      <rPr>
        <b/>
        <sz val="11"/>
        <rFont val="Arial"/>
        <family val="2"/>
      </rPr>
      <t>Todas las celdas de las anteriores columnas se deben diligenciar en pesos.</t>
    </r>
    <r>
      <rPr>
        <sz val="11"/>
        <rFont val="Arial"/>
        <family val="2"/>
      </rPr>
      <t xml:space="preserve">
•	COLUMNA J: ORIGEN DE LA IMPOSIBILIDAD: Vía lista desplegable, incluya en las celdas correlativas a las imposibilidades establecidas, seleccionando alguna de las siguientes opciones: “INFORMACION INEXISTENTE”, “INFORMACION INCOMPLETA”, “INFORMACION INOPORTUNA” o “INFORMACION INCOMPLETA E INOPORTUNA”, de los saldos sobre los cuales no se logró obtener evidencia válida y suficiente sobre su razonabilidad.
•	COLUMNA K: TIPO DE HALLAZGO: Vía lista desplegable, incluya en las celdas correlativas, el hallazgo con su incidencia, seleccionando alguna de las opciones: “Administrativo”, “Administrativo – Disciplinaria”, “Administrativo – Disciplinaria y Penal”, “Administrativo – Disciplinaria, Penal y Fiscal” o “Administrativo – Disciplinaria y Fiscal”, de los saldos sobre los cuales se determinaron incorrecciones y/o no se logró obtener evidencia válida y suficiente sobre su razonabilidad.
•	COLUMNA L: NUMERAL DEL HALLAZGO DEL INFORME FINAL: Incluya el numeral del hallazgo bajo el cual fue presentado en el informe final de auditoría.
Una vez diligenciadas todas las celdas relacionadas anteriormente, y a partir de sus totales, tanto para las cuentas del activo, como para las de pasivo y patrimonio, se generarán automáticamente los porcentajes de: Representación de las muestras, de las incorrecciones, imposibilidades y de la sumatoria total de incorrecciones + total de imposibilidades.
Así mismo, con el fin de establecer el tipo de opinión a emitir se generaron dos filas denominadas ÍNDICE PREDOMINANTE EN % e ÍNDICE PREDOMINANTE EN PESOS, producto de obtener el mayor porcentaje (%) y valor comparativo de las desviaciones de los totales de incorrecciones y de imposibilidades por grupo del activo frente a las del pasivo y patrimonio.</t>
    </r>
  </si>
  <si>
    <r>
      <t xml:space="preserve">3. TIPOS DE OPINIONES, SUS PARAMETROS, CALIFICACIÓN Y CONCEPTO DEL PRINCIPIO EVALUADO </t>
    </r>
    <r>
      <rPr>
        <b/>
        <i/>
        <sz val="16"/>
        <rFont val="Arial"/>
        <family val="2"/>
      </rPr>
      <t>(Sección Informativa no requiere ningún diligenciamiento</t>
    </r>
    <r>
      <rPr>
        <b/>
        <sz val="16"/>
        <rFont val="Arial"/>
        <family val="2"/>
      </rPr>
      <t>):</t>
    </r>
  </si>
  <si>
    <t>OPINIÓN</t>
  </si>
  <si>
    <t>INCORRECCIONES</t>
  </si>
  <si>
    <t>IMPOSIBILIDADES</t>
  </si>
  <si>
    <t>ACUMULADO DE INCORRRECCIONES + IMPOSIBILIDADES</t>
  </si>
  <si>
    <t>Puntaje asignado de acuerdo con la Opinión</t>
  </si>
  <si>
    <t>Concepto sobre el principio de Eficacia</t>
  </si>
  <si>
    <t>LIMPIA O SIN SALVEDADES</t>
  </si>
  <si>
    <r>
      <rPr>
        <b/>
        <sz val="9"/>
        <rFont val="Arial"/>
        <family val="2"/>
      </rPr>
      <t>NO MATERIAL</t>
    </r>
    <r>
      <rPr>
        <sz val="9"/>
        <rFont val="Arial"/>
        <family val="2"/>
      </rPr>
      <t xml:space="preserve">
Menores a la materialidad cuantitativa del total de activos o del pasivo + patrimonio.</t>
    </r>
  </si>
  <si>
    <r>
      <t>NO MATERIAL</t>
    </r>
    <r>
      <rPr>
        <sz val="9"/>
        <color indexed="8"/>
        <rFont val="Arial"/>
        <family val="2"/>
      </rPr>
      <t xml:space="preserve"> 
Menores a la materialidad cuantitativa del total de activo o del pasivo + patrimonio..</t>
    </r>
  </si>
  <si>
    <r>
      <t>NO MATERIAL</t>
    </r>
    <r>
      <rPr>
        <sz val="9"/>
        <color indexed="8"/>
        <rFont val="Arial"/>
        <family val="2"/>
      </rPr>
      <t xml:space="preserve"> 
Menores a la materialidad cuantitativa del total de activo o del pasivo + patrimonio.</t>
    </r>
  </si>
  <si>
    <t>CON SALVEDADES</t>
  </si>
  <si>
    <r>
      <rPr>
        <b/>
        <sz val="9"/>
        <rFont val="Arial"/>
        <family val="2"/>
      </rPr>
      <t>MATERIAL</t>
    </r>
    <r>
      <rPr>
        <sz val="9"/>
        <rFont val="Arial"/>
        <family val="2"/>
      </rPr>
      <t xml:space="preserve"> 
Mayores o iguales a 1 y menores que 5 veces la materialidad cuantitativa obtenida para el total del activos o del pasivo + patrimonio.</t>
    </r>
  </si>
  <si>
    <r>
      <t xml:space="preserve">MATERIAL 
</t>
    </r>
    <r>
      <rPr>
        <sz val="9"/>
        <color indexed="8"/>
        <rFont val="Arial"/>
        <family val="2"/>
      </rPr>
      <t>Mayores o iguales a 1 y menores que 5 veces la materialidad cuantitativa obtenida para el total del Activo o del Pasivo más Patrimonio</t>
    </r>
  </si>
  <si>
    <r>
      <t xml:space="preserve">MATERIAL 
</t>
    </r>
    <r>
      <rPr>
        <sz val="9"/>
        <color indexed="8"/>
        <rFont val="Arial"/>
        <family val="2"/>
      </rPr>
      <t>Mayores o iguales a 1 y menores que 5 veces la materialidad cuantitativa obtenida para el total del activo o del pasivo + patrimonio.</t>
    </r>
  </si>
  <si>
    <t>ADVERSA O NEGATIVA</t>
  </si>
  <si>
    <r>
      <rPr>
        <b/>
        <sz val="9"/>
        <rFont val="Arial"/>
        <family val="2"/>
      </rPr>
      <t>MATERIAL GENERALIZADA</t>
    </r>
    <r>
      <rPr>
        <sz val="9"/>
        <rFont val="Arial"/>
        <family val="2"/>
      </rPr>
      <t xml:space="preserve">
Iguales o superiores a 5 veces la materialidad cuantitativa del activo o del pasivo + patrimonio.</t>
    </r>
  </si>
  <si>
    <r>
      <rPr>
        <b/>
        <sz val="9"/>
        <color indexed="8"/>
        <rFont val="Arial"/>
        <family val="2"/>
      </rPr>
      <t>MATERIAL GENERALIZADA</t>
    </r>
    <r>
      <rPr>
        <sz val="9"/>
        <color indexed="8"/>
        <rFont val="Arial"/>
        <family val="2"/>
      </rPr>
      <t xml:space="preserve">
Iguales o superiores a 5 veces la materialidad cuantitativa del activo o del pasivo + patrimonio.</t>
    </r>
  </si>
  <si>
    <r>
      <rPr>
        <b/>
        <sz val="9"/>
        <color indexed="8"/>
        <rFont val="Arial"/>
        <family val="2"/>
      </rPr>
      <t>MATERIAL GENERALIZADA</t>
    </r>
    <r>
      <rPr>
        <sz val="9"/>
        <color indexed="8"/>
        <rFont val="Arial"/>
        <family val="2"/>
      </rPr>
      <t xml:space="preserve">
Iguales o superiores a 5 veces la materialidad cuantitativa del total del activo o del pasivo + patrimonio.</t>
    </r>
  </si>
  <si>
    <t>DENEGACIÓN O ABSTENCIÓN</t>
  </si>
  <si>
    <r>
      <t>4. NUMERO DE INCORRECCIONES E IMPOSIBILIDADES EN FUNCIÓN A LA MATERIALIDAD (</t>
    </r>
    <r>
      <rPr>
        <b/>
        <i/>
        <sz val="16"/>
        <rFont val="Arial"/>
        <family val="2"/>
      </rPr>
      <t>Sección que se diligencia automáticamente con el diligenciamiento de la segunda sección, no digitar ningún dato</t>
    </r>
    <r>
      <rPr>
        <b/>
        <sz val="16"/>
        <rFont val="Arial"/>
        <family val="2"/>
      </rPr>
      <t>):</t>
    </r>
  </si>
  <si>
    <t>NUMERO DE INCORRECCIONES EN FUNCIÓN A LA MATERIALIDAD</t>
  </si>
  <si>
    <t>EN FUNCIÓN AL VALOR</t>
  </si>
  <si>
    <t>EN %</t>
  </si>
  <si>
    <t>NUMERO DE IMPOSIBILIDADES EN FUNCIÓN A LA MATERIALIDAD</t>
  </si>
  <si>
    <t>NUMERO DE INCORRECCIONES + IMPOSIBILIDADES EN FUNCIÓN A LA MATERIALIDAD</t>
  </si>
  <si>
    <r>
      <rPr>
        <b/>
        <u/>
        <sz val="14"/>
        <color indexed="8"/>
        <rFont val="Arial"/>
        <family val="2"/>
      </rPr>
      <t>A</t>
    </r>
    <r>
      <rPr>
        <u/>
        <sz val="14"/>
        <color indexed="8"/>
        <rFont val="Arial"/>
        <family val="2"/>
      </rPr>
      <t>. Respecto al agregado por valor:</t>
    </r>
    <r>
      <rPr>
        <sz val="14"/>
        <color indexed="8"/>
        <rFont val="Arial"/>
        <family val="2"/>
      </rPr>
      <t xml:space="preserve"> Número de veces en que las incorrecciones del </t>
    </r>
    <r>
      <rPr>
        <b/>
        <sz val="14"/>
        <color indexed="8"/>
        <rFont val="Arial"/>
        <family val="2"/>
      </rPr>
      <t>Activo</t>
    </r>
    <r>
      <rPr>
        <sz val="14"/>
        <color indexed="8"/>
        <rFont val="Arial"/>
        <family val="2"/>
      </rPr>
      <t xml:space="preserve"> sobrepasan el valor de la materialidad?</t>
    </r>
  </si>
  <si>
    <t>C. Respecto al agregado por valor: Número de veces en que las imposibilidades del Activo sobrepasan el valor de la materialidad?</t>
  </si>
  <si>
    <t>E. Respecto al agregado por valor: Número de veces en que las incorrecciones + las imposibilidades del Activo sobrepasan el valor de la materialidad?</t>
  </si>
  <si>
    <r>
      <rPr>
        <u/>
        <sz val="14"/>
        <color indexed="8"/>
        <rFont val="Arial"/>
        <family val="2"/>
      </rPr>
      <t>B. Respecto al agregado por valor:</t>
    </r>
    <r>
      <rPr>
        <sz val="14"/>
        <color indexed="8"/>
        <rFont val="Arial"/>
        <family val="2"/>
      </rPr>
      <t xml:space="preserve"> Número de veces en que las incorrecciones del </t>
    </r>
    <r>
      <rPr>
        <b/>
        <sz val="14"/>
        <color indexed="8"/>
        <rFont val="Arial"/>
        <family val="2"/>
      </rPr>
      <t>Pasivo + Patrimonio</t>
    </r>
    <r>
      <rPr>
        <sz val="14"/>
        <color indexed="8"/>
        <rFont val="Arial"/>
        <family val="2"/>
      </rPr>
      <t xml:space="preserve"> sobrepasan el valor de la materialidad?</t>
    </r>
  </si>
  <si>
    <t>D. Respecto al agregado por valor: Número de veces en que las imposibilidades del Pasivo + Patrimonio sobrepasan el valor de la materialidad?</t>
  </si>
  <si>
    <t>F. Respecto al agregado por valor: Número de veces en que las incorrecciones + las imposibilidades del Pasivo + Patrimonio sobrepasan el valor de la materialidad?</t>
  </si>
  <si>
    <t>INDICE PREDOMINATE ENTRE ACTIVOS Y PASIVOS + PATRIMONIO</t>
  </si>
  <si>
    <t>En esta sección se obtiene de manera automática el número de veces de las incorrecciones e imposibilidades en función al valor y al porcentaje establecido en materialidad cuantitativa del activo y del pasivo + patrimonio. En estos términos se establece el índice predominante entre el activo y el pasivo + patrimonio.</t>
  </si>
  <si>
    <r>
      <t>5. MATERIALIDAD DETERMINADA PARA EL SUJETO DE VIGILANCIA Y CONTROL FISCAL (</t>
    </r>
    <r>
      <rPr>
        <b/>
        <i/>
        <sz val="16"/>
        <rFont val="Arial"/>
        <family val="2"/>
      </rPr>
      <t>Sección que se diligencia automáticamente con el diligenciamiento de la hoja PVCGF-04-XX Materialidad para Estados Financieros, no digitar ningún dato</t>
    </r>
    <r>
      <rPr>
        <b/>
        <sz val="16"/>
        <rFont val="Arial"/>
        <family val="2"/>
      </rPr>
      <t>):</t>
    </r>
  </si>
  <si>
    <t>Monto Activo Total</t>
  </si>
  <si>
    <t>Corresponde a los resultados obtenidos en el papel de trabajo PVCGF-04-XX Materialidad para Estados Financieros, indicando la suma de su puntaje, el rango establecido, la base seleccionada, el monto total de la base, el porcentaje y el valor de la materialidad.</t>
  </si>
  <si>
    <r>
      <t>6. DETERMINACIÓN DE LOS TIPOS DE OPINIÓN (</t>
    </r>
    <r>
      <rPr>
        <b/>
        <i/>
        <sz val="16"/>
        <color rgb="FF000000"/>
        <rFont val="Arial"/>
        <family val="2"/>
      </rPr>
      <t>Sección Informativa no requiere ningún diligenciamiento</t>
    </r>
    <r>
      <rPr>
        <b/>
        <sz val="16"/>
        <color indexed="8"/>
        <rFont val="Arial"/>
        <family val="2"/>
      </rPr>
      <t>):</t>
    </r>
  </si>
  <si>
    <r>
      <t>7. NIVEL DE MATERIALIDAD DE LAS IMPOSIBILIDADES Y LAS INCORRECCIONES (</t>
    </r>
    <r>
      <rPr>
        <b/>
        <i/>
        <sz val="14"/>
        <color rgb="FF000000"/>
        <rFont val="Arial"/>
        <family val="2"/>
      </rPr>
      <t>Sección que se genera automáticamente,  no requiere digitar ningún dato</t>
    </r>
    <r>
      <rPr>
        <b/>
        <sz val="14"/>
        <color indexed="8"/>
        <rFont val="Arial"/>
        <family val="2"/>
      </rPr>
      <t>):</t>
    </r>
  </si>
  <si>
    <r>
      <t xml:space="preserve">IMPOSIBILIDADES: </t>
    </r>
    <r>
      <rPr>
        <sz val="12"/>
        <color indexed="8"/>
        <rFont val="Arial"/>
        <family val="2"/>
      </rPr>
      <t>Rubro o cuenta de los Estados Financieros sobre la cual el auditor no tiene seguridad razonable de que esté libre de errores, debido a la no obtención de evidencia suficiente y adecuada, por lo tanto, no puede establecer un valor cuantitativo de la misma. Esta situación puede generar una opinión Con Salvedades o, Denegación o Abstención de opinión.</t>
    </r>
  </si>
  <si>
    <t>IMPOSIBILIDADES + INCORRECCIONES</t>
  </si>
  <si>
    <r>
      <t xml:space="preserve">IMPOSIBILIDADES O INCORRECCIÓN NO MATERIAL: </t>
    </r>
    <r>
      <rPr>
        <sz val="12"/>
        <rFont val="Arial"/>
        <family val="2"/>
      </rPr>
      <t>Cuando cada una de estas o sumadas son menores a la materialidad cuantitativa del total de activos o del pasivo + patrimonio, se generará una opinión limpia o sin salvedades.</t>
    </r>
  </si>
  <si>
    <t>NO MATERIAL</t>
  </si>
  <si>
    <r>
      <rPr>
        <b/>
        <sz val="12"/>
        <rFont val="Arial"/>
        <family val="2"/>
      </rPr>
      <t xml:space="preserve">IMPOSIBILIDAD O INCORRECCIÓN MATERIAL: </t>
    </r>
    <r>
      <rPr>
        <sz val="12"/>
        <rFont val="Arial"/>
        <family val="2"/>
      </rPr>
      <t>Cuando cada una de estas o sumadas son más de 1 y menos de 5 veces la materialidad cuantitativa del total de activos o del pasivo + patrimonio, generará una opinión con salvedades.</t>
    </r>
  </si>
  <si>
    <t>MATERIAL</t>
  </si>
  <si>
    <r>
      <t xml:space="preserve">IMPOSIBILIDAD O INCORRECCIÓN MATERIAL GENERALIZADA: </t>
    </r>
    <r>
      <rPr>
        <sz val="12"/>
        <rFont val="Arial"/>
        <family val="2"/>
      </rPr>
      <t>Cuando cada una de estas o sumadas son más de 5 veces la materialidad cuantitativa del total de activos o del pasivo + patrimonio, generará una opinión adversa o una Denegación o Abstención de Opinión, según el índice predominante.</t>
    </r>
  </si>
  <si>
    <t>MATERIAL GENERALIZADA</t>
  </si>
  <si>
    <t>TOTAL IMPOSIBILIDADES ES MAYOR A TOTAL INCORRECCIONES</t>
  </si>
  <si>
    <r>
      <t>Séptima Sección: “</t>
    </r>
    <r>
      <rPr>
        <i/>
        <sz val="12"/>
        <rFont val="Arial"/>
        <family val="2"/>
      </rPr>
      <t>NIVEL DE MATERIALIDAD DE LAS IMPOSIBILIDADES Y LAS INCORRECCIONES</t>
    </r>
    <r>
      <rPr>
        <sz val="12"/>
        <rFont val="Arial"/>
        <family val="2"/>
      </rPr>
      <t>”. (Esta información se genera automáticamente, no se requiere digitar ningún dato):
En esta sección no hay que incorporar información, esta se obtiene automáticamente a partir del diligenciamiento de las secciones anteriores. Con base en los índices predominantes, nos arroja el nivel o categoría en que se encuentran las incorrecciones, las imposibilidades y las imposibilidades + las incorrecciones. Así mismo, para el caso en el cual las imposibilidades y las incorrecciones sean categorizadas como materiales y generalizadas, nos compara cuál de ellas es la predominante para establecer si estamos frente a una opinión adversa o negativa o una Denegación o abstención de opinión.</t>
    </r>
  </si>
  <si>
    <r>
      <t>8. OPINIÓN OBTENIDA Y CALIFICACIÓN DEL PRINCIPIO EVALUADO -  (</t>
    </r>
    <r>
      <rPr>
        <b/>
        <i/>
        <sz val="16"/>
        <color theme="1"/>
        <rFont val="Arial"/>
        <family val="2"/>
      </rPr>
      <t>Esta información se genera automáticamente con el diligenciamiento de la segunda sección, no se requiere digitar ningún dato</t>
    </r>
    <r>
      <rPr>
        <b/>
        <sz val="16"/>
        <color theme="1"/>
        <rFont val="Arial"/>
        <family val="2"/>
      </rPr>
      <t>)</t>
    </r>
  </si>
  <si>
    <t>TIPO DE OPINIÓN</t>
  </si>
  <si>
    <t>En esta sección no hay que incorporar información, ésta se obtiene automáticamente, a partir del diligenciamiento de las secciones anteriores. Con base en los índices predominantes arroja el tipo de opinión obtenida, el porcentaje (%) y calificación del principio de eficacia que mide este proceso.</t>
  </si>
  <si>
    <t>ABSTENCION</t>
  </si>
  <si>
    <t>Administrativo - Disciplinaria</t>
  </si>
  <si>
    <t>Administrativo - Disciplinaria y Penal</t>
  </si>
  <si>
    <t>Administrativo - Disciplinaria, Penal y Fiscal</t>
  </si>
  <si>
    <t>Información Incompleta e Inoportuna</t>
  </si>
  <si>
    <t>Administrativo - Disciplinaria y Fiscal</t>
  </si>
  <si>
    <t>Tipo de Auditoría:</t>
  </si>
  <si>
    <t>Fecha evaluación:</t>
  </si>
  <si>
    <r>
      <t xml:space="preserve">1. CONSOLIDADO DE LA CALIFICACIÓN </t>
    </r>
    <r>
      <rPr>
        <b/>
        <i/>
        <sz val="14"/>
        <rFont val="Arial"/>
        <family val="2"/>
      </rPr>
      <t>(Sección Informativa que no requiere diligenciamiento)</t>
    </r>
  </si>
  <si>
    <t>SUBPROCESO</t>
  </si>
  <si>
    <t>PONDERACION INICIAL</t>
  </si>
  <si>
    <t>PONDERACION CON DATOS eficacia</t>
  </si>
  <si>
    <t>PONDERACION CON DATOS EFICIENCIA</t>
  </si>
  <si>
    <t>PONDERACION REDISTRIBUIDA EFICACIA</t>
  </si>
  <si>
    <t>PONDERACION REDISTRIBUIDA EFICIENCIA</t>
  </si>
  <si>
    <t>CALIFICACION POR SUBPROCESO (promedio)</t>
  </si>
  <si>
    <t>CALIFICACION PROCESO
(promedio ponderado)</t>
  </si>
  <si>
    <t>EFICACIA PONDERADA</t>
  </si>
  <si>
    <t>EFICIENCIA PONDERADA</t>
  </si>
  <si>
    <t>Indicadores Financieros a partir de Estados Financieros</t>
  </si>
  <si>
    <t>Deuda Pública Interna y Externa y Servicio de la Deuda Pública</t>
  </si>
  <si>
    <t>Inversiones en Títulos Valores</t>
  </si>
  <si>
    <t>Inversiones Accionarias o Patrimoniales</t>
  </si>
  <si>
    <t>CALIFICACION DEL PROCESO</t>
  </si>
  <si>
    <t>&gt;=75% - &lt;=100</t>
  </si>
  <si>
    <t>&lt;75%</t>
  </si>
  <si>
    <t>2. APLICACIÓN ANALISIS Y RESULTADOS DE LOS INDICADORES</t>
  </si>
  <si>
    <t>RESULTADOS DE LA EVALUACIÓN DEL DESEMPEÑO FINANCIERO</t>
  </si>
  <si>
    <t xml:space="preserve">INDICADORES FINANCIEROS </t>
  </si>
  <si>
    <t>TIPO DE INDICADOR</t>
  </si>
  <si>
    <t xml:space="preserve">INTERPRETACIÓN DE RESULTADO POR TIPO DE INDICADOR </t>
  </si>
  <si>
    <t>RESULTADO DE LA GESTION FISCAL</t>
  </si>
  <si>
    <t>FORMULA</t>
  </si>
  <si>
    <t>RESULTADOS DE LA APLICACIÓN DE LA FORMULA</t>
  </si>
  <si>
    <t>UNIDAD DE MEDIDA DEL RESULTADO</t>
  </si>
  <si>
    <t>INTERPRETACIÓN DEL INDICADOR</t>
  </si>
  <si>
    <t xml:space="preserve">Aplicación de los indicadores financieros a partir de Estados Financieros </t>
  </si>
  <si>
    <t>SECTOR DESCENTRALIZADO, SOCIEDADES DE ECONOMÍA MIXTA Y SECRETARÍA DE HACIENDA</t>
  </si>
  <si>
    <t xml:space="preserve"> Razón corriente</t>
  </si>
  <si>
    <t>Activo corriente / Pasivo corriente x 100</t>
  </si>
  <si>
    <t>Porcentaje</t>
  </si>
  <si>
    <t>Expresa la relación entre activos corrientes y pasivos corrientes, e indica cuantos pesos pose la empresa en los activos corriente por cada peso de los pasivos corrientes.</t>
  </si>
  <si>
    <t xml:space="preserve"> LIQUIDEZ</t>
  </si>
  <si>
    <t xml:space="preserve">Cuenta con disponibilidad de efectivo para atender sus obligaciones más inmediatas, a medida que éstas se vencen. </t>
  </si>
  <si>
    <t xml:space="preserve"> Proporciona el nivel de sostenibilidad y de crecimiento empresarial, así mismo, las debilidades en su estructura financiera y gestión operativa. </t>
  </si>
  <si>
    <t xml:space="preserve"> Capital de Trabajo </t>
  </si>
  <si>
    <t>Activo corriente - Pasivo corriente</t>
  </si>
  <si>
    <t>Valor absoluto</t>
  </si>
  <si>
    <t>Permite determinar con cuántos recursos cuenta la empresa para operar si se pagan los pasivos a corto plazo.</t>
  </si>
  <si>
    <t xml:space="preserve">Mantiene un capital de trabajo adecuado en relación con el ciclo operativo y el comportamiento del flujo de caja.   </t>
  </si>
  <si>
    <t xml:space="preserve">Comportamiento del flujo de efectivo </t>
  </si>
  <si>
    <t>(Disponibilidad Inicial (+) Recaudos del Periodo (-) Giros o pagos del Periodo = Superávit (liquidez) o déficit de tesorería (iliquidez)).</t>
  </si>
  <si>
    <t>Valores absolutos</t>
  </si>
  <si>
    <t>Permite obtener claridad sobre las partidas de recaudos y pagos que generan y demandan efectivo a la compañía. La función principal del flujo de efectivo es mostrar el superávit (liquidez) o el déficit de tesorería (iliquidez).</t>
  </si>
  <si>
    <t xml:space="preserve">Nivel de Endeudamiento. </t>
  </si>
  <si>
    <t>(Pasivo total / Activo total) x 100</t>
  </si>
  <si>
    <t>Mide la proporción de los activos totales que financian los acreedores de la empresa. Entre mayor es el índice, mayor es el monto del dinero de terceros usado para generar utilidades.</t>
  </si>
  <si>
    <t>ENDEUDAMIENTO</t>
  </si>
  <si>
    <t>Cuenta con la capacidad para responder por el endeudamiento, de tal forma que no comprometa los activos para cumplir con el pago de sus obligaciones.</t>
  </si>
  <si>
    <t>Concentración Endeudamiento a Corto Plazo</t>
  </si>
  <si>
    <t>(Pasivo corriente / Pasivo total) x 100</t>
  </si>
  <si>
    <t>Permite analizar qué porcentaje de la deuda está a corto plazo, es decir, en relación al total de las obligaciones de la empresa, qué tanto debe cancelar en el plazo máximo de un año.</t>
  </si>
  <si>
    <t>El nivel de endeudamiento a corto plazo es apropiado y le permite cumplir con aquellas obligaciones y compromisos menores a un año.</t>
  </si>
  <si>
    <t>Endeudamiento financiero</t>
  </si>
  <si>
    <t>Pasivo total / Patrimonio neto x 100</t>
  </si>
  <si>
    <t>Grado de cobertura que puede tener el patrimonio respecto a las obligaciones contraídas con terceros</t>
  </si>
  <si>
    <t>Los propietarios de la empresa respaldan el nivel de endeudamiento asumido, frente a la capacidad para cumplir con sus obligaciones contraídas con terceros para financiar los activos.</t>
  </si>
  <si>
    <t>Cubrimiento de intereses</t>
  </si>
  <si>
    <t xml:space="preserve">(EBITDA / Gasto de Intereses) x 100 </t>
  </si>
  <si>
    <t>Número de veces que la utilidad operacional supera a los intereses registrados en los gastos.</t>
  </si>
  <si>
    <t>Cuenta con el apalancamiento óptimo para cumplir con el nivel de endeudamiento a coto y largo plazo y su financiación</t>
  </si>
  <si>
    <t>Índice de Solvencia</t>
  </si>
  <si>
    <t>(Activo Total/ Pasivo total) x 100</t>
  </si>
  <si>
    <t xml:space="preserve">Mide la cantidad de pesos con los que, entre bienes y derechos se cuenta para respaldar cada peso que posee de deuda. </t>
  </si>
  <si>
    <t>EBITDA</t>
  </si>
  <si>
    <t>Utilidad antes de intereses e impuestos (Utilidad Operativa) + Depreciaciones + Amortizaciones + Provisiones</t>
  </si>
  <si>
    <t>Permite obtener una idea clara del rendimiento operativo de la empresa, al descontar de la utilidad operativa aquellos gastos contables que no implican salida de dinero en efectivo.</t>
  </si>
  <si>
    <t>RENDIMIENTO</t>
  </si>
  <si>
    <t xml:space="preserve">Tiene la capacidad para generar utilidades a partir del desempeño y resultados de sus actividades  productivas, derivadas de las decisiones estratégicas, para maximizar el valor del capital y el de sus accionistas.   </t>
  </si>
  <si>
    <t>Margen de Utilidad Neta</t>
  </si>
  <si>
    <t>(Utilidad neta / ventas netas) x 100</t>
  </si>
  <si>
    <t xml:space="preserve">Muestra la utilidad por cada unidad de venta. </t>
  </si>
  <si>
    <t xml:space="preserve"> Margen Operacional. </t>
  </si>
  <si>
    <t>(Utilidad Operacional / Ventas) x 100</t>
  </si>
  <si>
    <t>Mide el beneficio que obtiene la empresa por cada peso de ventas, luego de pagar costos y gastos como mano de obra e insumos directos, justo antes de intereses e impuestos.</t>
  </si>
  <si>
    <t>Dividendos efectivamente pagados</t>
  </si>
  <si>
    <t>(Dividendos decretados / Dividendos pagados) x 100</t>
  </si>
  <si>
    <t>Determina los dividendos efectivamente pagados a los accionistas de la empresa.</t>
  </si>
  <si>
    <t>Produce el retorno de la inversión a los socios o  accionistas en términos de rentabilidad y dividendos decretados y efectivamente  pagados.</t>
  </si>
  <si>
    <t xml:space="preserve"> Beneficio por Acción (BPA)</t>
  </si>
  <si>
    <t>Utilidad neta / Número de acciones</t>
  </si>
  <si>
    <t>Beneficio o pérdida sobre cada acción (ordinaria o preferente) en función de las acciones ordinarias o preferentes que se encuentren en circulación.</t>
  </si>
  <si>
    <t>Rentabilidad por Dividendo</t>
  </si>
  <si>
    <t>(Dividendo pagado por acción / Precio de la acción) x 100</t>
  </si>
  <si>
    <t>Beneficios que obtiene una empresa sobre sus operaciones, en un periodo determinado, que se pagan a los accionistas según la cantidad de acciones que posean.</t>
  </si>
  <si>
    <t>Comportamiento  valor de la acción</t>
  </si>
  <si>
    <t>(valor acción año actual - valor acción año anterior / valor acción año anterior) x100</t>
  </si>
  <si>
    <t xml:space="preserve">Determina el comportamiento del valor de la acción en el mercado bursátil en el periodo evaluado, en relación con el año  anterior. </t>
  </si>
  <si>
    <t xml:space="preserve">El valor de las acciones cotizadas en el mercado bursátil genera estabilidad para la empresa y sus accionistas, aportando valor agregado. </t>
  </si>
  <si>
    <t>Eficiencia en el recaudo</t>
  </si>
  <si>
    <t>(Recaudos en la vigencia actual de los saldos por cobrar de vigencias anteriores/ Saldo por cobrar en la vigencia anterior) x 100</t>
  </si>
  <si>
    <t>Porcentaje del recaudo de la vigencia actual de los recursos por cobrar de vigencias anteriores</t>
  </si>
  <si>
    <t>ACTIVIDAD</t>
  </si>
  <si>
    <t xml:space="preserve">El proceso de recaudo de cartera en la vigencia evaluada se llevó a cabo de manera eficiente, en relación con los recursos ingresados por cuentas por cobrar de vigencias anteriores, incluido el análisis de costo beneficio en el proceso de recuperación de la cartera. </t>
  </si>
  <si>
    <t>Variación marginal del Ingreso</t>
  </si>
  <si>
    <t>(Ingresos propios de la vigencia analizada / Ingresos propios de la vigencia anterior) x 100.</t>
  </si>
  <si>
    <t>Variación porcentual de la generación de Ingresos propios de una vigencia en relación a otra.</t>
  </si>
  <si>
    <t>Relación Beneficio Costo de Cartera</t>
  </si>
  <si>
    <t>(Sumatoria de costos y gastos asumidos para el recaudo de cartera en la vigencia evaluada / Recaudo total de cartera de la vigencia evaluada) x 100</t>
  </si>
  <si>
    <t>Resultados financieros de la gestión del cobro de Cartera de la vigencia</t>
  </si>
  <si>
    <t xml:space="preserve">El proceso de generación de los ingresos propios comparativamente mostraron crecimiento con respecto a periodo(s) anterior(res) 
</t>
  </si>
  <si>
    <t>OTRAS ACTIVIDADES A EVALUAR</t>
  </si>
  <si>
    <t>MODELO DE DIAGNÓSTICO FINANCIERO</t>
  </si>
  <si>
    <t>MARGEN EBITDA</t>
  </si>
  <si>
    <t>(EBITDA / Ingresos operacionales) x 100</t>
  </si>
  <si>
    <t>Proporciona la capacidad de la empresa para generar efectivo por cada peso de ventas. Se utilizada para evaluar la rentabilidad de una empresa comparando sus ingresos con sus ganancias</t>
  </si>
  <si>
    <t>Eficiencia operativa enfocada a incrementar los ingresos y/o reducir los costos y gastos, derivado de las decisiones y estrategias implementadas por el sujeto de vigilancia y control fiscal para  generar flujo de caja suficiente para atender los compromisos de la operación; teniendo como referente el comportamiento de la(s) vigencia(s) anterior(es).</t>
  </si>
  <si>
    <t>Capital de Trabajo Neto Operativo KTNO</t>
  </si>
  <si>
    <t>(Inventarios + cuentas por cobrar (Clientes) – cuentas por pagar (Proveedores))</t>
  </si>
  <si>
    <t>Relaciona el comportamiento de los saldos de inventarios y cuentas por cobrar, con los registros de cuentas por pagar (Proveedores), para determinar la porción del flujo de caja que la empresa se apropia, con el fin de reponer el capital de trabajo.</t>
  </si>
  <si>
    <t>Eficiencia en la administración del capital de trabajo optimizando la generación del flujo de caja,  como resultado de la gestión del proceso productivo y niveles de ventas obtenidos en el periodo evaluado, en comparación con  la(s) vigencias(s) anterior(es), que le permita cumplir adecuadamente con sus compromisos adquiridos en su operación.</t>
  </si>
  <si>
    <t>Productividad del Capital de Trabajo-PKT</t>
  </si>
  <si>
    <t>(KTNO / Ingresos Operacionales)</t>
  </si>
  <si>
    <t>Representa los centavos de capital de trabajo que, por cada peso de ingresos operacionales debe retener la empresa para operar</t>
  </si>
  <si>
    <t>Palanca de Crecimiento – PDC</t>
  </si>
  <si>
    <t>Margen EBITDA/PKT</t>
  </si>
  <si>
    <t>Pretende establecer si es o no conveniente que la empresa crezca. Mientras mayor sea el resultado, más atractivo es el crecimiento para la compañía.</t>
  </si>
  <si>
    <t>Estructura de Caja</t>
  </si>
  <si>
    <t>EBITDA (-) Impuestos= Flujo de Caja Bruto (-) Variación KTNO (-) Intereses (-) Dividendos = Disponible para inversión y abono a capital</t>
  </si>
  <si>
    <t>Permite determinar el efecto que, sobre la caja disponible para inversión y abono a capital de la deuda, se produce como consecuencia de la Estructura Operativa y la Estructura Financiera que la empresa mantiene para operar.</t>
  </si>
  <si>
    <t xml:space="preserve">Múltiplo de Deuda </t>
  </si>
  <si>
    <t xml:space="preserve">(Deuda Financiera Total / EBITDA) </t>
  </si>
  <si>
    <t>Permite establecer el riesgo financiero que asume la empresa al obtener un importante monto de deuda frente a la capacidad que tiene para cumplir el pago del capital (saldo total de la deuda) con su flujo de caja.</t>
  </si>
  <si>
    <t xml:space="preserve">Riesgo financiero en relación con la(s) deuda(s) asumida(s), en proporción con las utilidades obtenidas (EBITDA) y la cantidad de recursos que se destinan al pago de intereses y amortización de capital, con el fujo de caja generado en la actividad operativa.  </t>
  </si>
  <si>
    <t>Incidencia de Intereses</t>
  </si>
  <si>
    <t>(Intereses / Flujo de Caja Bruto) x 100</t>
  </si>
  <si>
    <t>Proporción del Flujo de Caja Bruto de la entidad destinada al pago de intereses.</t>
  </si>
  <si>
    <t>Rentabilidad del Activo (ROA)</t>
  </si>
  <si>
    <t>(Utilidad neta / Activo total) x 100</t>
  </si>
  <si>
    <t>Expresa la rentabilidad económica de la empresa, independientemente de la forma en que se financie el activo (con recursos propios o recursos de terceros).</t>
  </si>
  <si>
    <t xml:space="preserve">Capacidad del sujeto de vigilancia y control fiscal para generar utilidades con el uso de los recursos invertidos y la eficiencia y efectividad en la administración y utilización de los activos productivos de la empresa. </t>
  </si>
  <si>
    <t>ASPECTOS DE CALIFICACIÓN APLICABLES</t>
  </si>
  <si>
    <t>Deuda Pública Interna y Externa</t>
  </si>
  <si>
    <t>La empresa evalúa su capacidad de endeudamiento antes de contraer las obligaciones de deuda y dicha capacidad fue calculada con variables reales.</t>
  </si>
  <si>
    <t>MANEJO DE DEUDA PÚBLICA (INTERNA Y EXTERNA)</t>
  </si>
  <si>
    <t>Capacidad de endeudamiento</t>
  </si>
  <si>
    <t>La capacidad de endeudamiento utilizado cumple con las políticas y directrices definidas por la alta dirección y/o Comité creado para su control y manejo, sin exceder los límites de endeudamiento definidos de acuerdo con la capacidad de pago.</t>
  </si>
  <si>
    <t xml:space="preserve">De acuerdo con el resultado que proporcionan las firmas calificadoras de riesgos crediticios, la compañía presenta capacidad suficiente para el nivel de endeudamiento efectuado en el periodo evaluado.   </t>
  </si>
  <si>
    <t>La entidad contaba con la capacidad de pago suficiente al momento de celebrar la nueva operación de crédito público, conforme a lo establecido por las normas vigentes.</t>
  </si>
  <si>
    <t xml:space="preserve">Nivel de endeudamiento público </t>
  </si>
  <si>
    <t>La entidad cumplió con todas las autorizaciones requeridas para efectuar el endeudamiento.</t>
  </si>
  <si>
    <t>La operación de crédito público efectuada fue acompañada de los documentos y soportes establecidos en las normas que regulan el tema.</t>
  </si>
  <si>
    <t xml:space="preserve">Los recursos obtenidos mediante la operación de crédito público se han destinado exclusivamente a la financiación de gastos de inversión. (con las excepciones que se aprueben a través de actas de Junta Directiva y/o Asamblea de Socios entre otras.  ) </t>
  </si>
  <si>
    <t>Servicio de la Deuda Pública</t>
  </si>
  <si>
    <t>La entidad cumple en forma oportuna con el pago de sus acreencias crediticias en la forma y termino pactados en los correspondiente contratos de endeudamiento.</t>
  </si>
  <si>
    <t xml:space="preserve"> Oportunidad en el pago de capital e intereses</t>
  </si>
  <si>
    <t>Los intereses y demás erogaciones relacionadas con costos financieros de la deuda, se liquidan y pagan conforme las tasas  pactadas.</t>
  </si>
  <si>
    <t>La entidad ha llevado a cabo renegociación de la deuda negociada en moneda extranjera, para mejorar las condiciones del crédito y hacer menos costoso el pago de intereses.</t>
  </si>
  <si>
    <t>La compañía a través del área competente, hace los análisis necesarios para establecer los excedentes de liquidez para llevar a cabo inversiones en títulos valores, para no afectar la disponibilidad de los recursos.</t>
  </si>
  <si>
    <t>MANEJO DE EXCEDENTES DE TESORERÍA</t>
  </si>
  <si>
    <t xml:space="preserve">Gestión de las inversiones en títulos valores </t>
  </si>
  <si>
    <t>Las operaciones de mercado secundario de valores fueron  efectuadas teniendo en cuenta los precios del mercado vigentes en la fecha en que se realizó la inversión financiera.</t>
  </si>
  <si>
    <t>La empresa realiza sus inversiones financieras solo en mercado de renta fija.</t>
  </si>
  <si>
    <t>Los rendimientos financieros procedentes del portafolio de inversiones son cobrados por la empresa dentro de los términos y condiciones pactados en la operación, se encuentran correctamente liquidados y se evidencia el respectivo registro contable.</t>
  </si>
  <si>
    <t>La empresa realiza en forma permanente el análisis de riesgos asociados a las operaciones financieras.</t>
  </si>
  <si>
    <t>Las inversiones financieras en títulos valores se efectúan en empresas vigiladas por la superintendencia financiera y calificadas con los máximos valores por las compañías calificadoras de riesgos.</t>
  </si>
  <si>
    <t>Desempeño financiero de la asignación de los recursos financieros producto de excedentes de tesorería o recursos disponibles que pueden ser invertidos en las diferentes modalidades de inversión financiera que realice la tesorería o la dependencia que haga sus veces (mesas de dinero) para obtener la mayor rentabilidad posible dentro de los menores rangos de riesgo existentes y maximizar los beneficios financieros.*</t>
  </si>
  <si>
    <t>Desempeño financiero de las inversiones constituidas en el país y en el exterior, donde el Distrito Capital tiene participación accionaria o patrimonial,   en términos del retorno de la inversión.</t>
  </si>
  <si>
    <t>DESEMPEÑO FINANCIERO DE LAS INVERSIONES ACCIONARIAS Y PATRIMONIALES</t>
  </si>
  <si>
    <t xml:space="preserve">Control y seguimiento de las inversiones accionarias y patrimoniales, en términos de eficiencia, que garanticen el retorno de la inversión.  </t>
  </si>
  <si>
    <t xml:space="preserve">La empresa realiza un control y seguimiento periódico y oportuno de la gestión y los resultados de las inversiones accionarias y patrimoniales, que garanticen el retorno de su inversión. </t>
  </si>
  <si>
    <t>Dividendos decretados y recibidos, frente a las capitalizaciones realizadas por la casa matriz, que proporcione un costo/beneficio.</t>
  </si>
  <si>
    <t>Balance Financiero de los préstamos otorgados y recibidos por la casa matriz (proporción de prestamos realizados Inter compañías).</t>
  </si>
  <si>
    <t xml:space="preserve">La empresa lleva a cabo los estudios y análisis económicos, financieros, de regulación, de mercado y técnicos, suficientes, antes de realizar las inversiones accionarias, para determinar de manera objetiva e idónea la situación financiera de la compañía en donde va a invertir. </t>
  </si>
  <si>
    <t xml:space="preserve">Se identifican previamente los riesgos que debe asumirse al realizar esta clase de inversiones  (económicos, financieros, de regulación, de mercado, técnicos y de toda índole).    </t>
  </si>
  <si>
    <t>* En las entidades que aplique</t>
  </si>
  <si>
    <t>En el caso de que se hayan dictaminado con opinión negativa o con abstención de opinión, NO habrá lugar a la evaluación de los indicadores financieros, deuda pública, inversiones en títulos valores e inversiones accionarias o patrimoniales. En este caso, los aspectos aplicables, se calificarán con cero (0)%.</t>
  </si>
  <si>
    <r>
      <t xml:space="preserve">El concepto sobre el desempeño financiero se fundamenta en el resultado de la aplicación e interpretación de los indicadores financieros, en términos de eficiencia y eficacia, para determinar </t>
    </r>
    <r>
      <rPr>
        <sz val="11"/>
        <color theme="1"/>
        <rFont val="Arial"/>
        <family val="2"/>
      </rPr>
      <t>el nivel de sostenibilidad y de crecimiento emp</t>
    </r>
    <r>
      <rPr>
        <sz val="11"/>
        <color rgb="FF000000"/>
        <rFont val="Arial"/>
        <family val="2"/>
      </rPr>
      <t>resa</t>
    </r>
    <r>
      <rPr>
        <sz val="11"/>
        <color theme="1"/>
        <rFont val="Arial"/>
        <family val="2"/>
      </rPr>
      <t>rial, orientado a maximizar el valor de la empresa y de sus accionistas</t>
    </r>
    <r>
      <rPr>
        <sz val="11"/>
        <color rgb="FF000000"/>
        <rFont val="Arial"/>
        <family val="2"/>
      </rPr>
      <t>; así mismo, establece</t>
    </r>
    <r>
      <rPr>
        <sz val="11"/>
        <color theme="1"/>
        <rFont val="Arial"/>
        <family val="2"/>
      </rPr>
      <t xml:space="preserve"> las debilidades en su situación financiera y operativa. Considera igualmente la eficacia en el </t>
    </r>
    <r>
      <rPr>
        <sz val="11"/>
        <color rgb="FF000000"/>
        <rFont val="Arial"/>
        <family val="2"/>
      </rPr>
      <t>manejo de la deuda pública, la administración de los excedentes financieros y el desempeño financiero y económico donde tiene participación accionaria y patrimonial.
Este instrumento a pesar de tener un alto contenido de información, exige una baja carga de registros, toda vez, que todos los campos están parametrizados, tal como se presenta a continuación:</t>
    </r>
  </si>
  <si>
    <t>Resultados de la evaluación del desempeño financiero</t>
  </si>
  <si>
    <t>En esta sección, el auditor según aplique, sólo deberá diligenciar las celdas pertinentes de las columnas F y M, relacionadas con los aspectos de los subprocesos:</t>
  </si>
  <si>
    <r>
      <t>·</t>
    </r>
    <r>
      <rPr>
        <sz val="7"/>
        <color theme="1"/>
        <rFont val="Times New Roman"/>
        <family val="1"/>
      </rPr>
      <t xml:space="preserve">         </t>
    </r>
    <r>
      <rPr>
        <sz val="11"/>
        <color theme="1"/>
        <rFont val="Arial"/>
        <family val="2"/>
      </rPr>
      <t>Indicadores financieros a partir de estados financieros</t>
    </r>
  </si>
  <si>
    <r>
      <t>·</t>
    </r>
    <r>
      <rPr>
        <sz val="7"/>
        <color theme="1"/>
        <rFont val="Times New Roman"/>
        <family val="1"/>
      </rPr>
      <t xml:space="preserve">         </t>
    </r>
    <r>
      <rPr>
        <sz val="11"/>
        <color theme="1"/>
        <rFont val="Arial"/>
        <family val="2"/>
      </rPr>
      <t>Deuda pública interna y externa y servicio de la deuda pública</t>
    </r>
  </si>
  <si>
    <r>
      <t>·</t>
    </r>
    <r>
      <rPr>
        <sz val="7"/>
        <color theme="1"/>
        <rFont val="Times New Roman"/>
        <family val="1"/>
      </rPr>
      <t xml:space="preserve">         </t>
    </r>
    <r>
      <rPr>
        <sz val="11"/>
        <color theme="1"/>
        <rFont val="Arial"/>
        <family val="2"/>
      </rPr>
      <t>Inversiones en títulos valores</t>
    </r>
  </si>
  <si>
    <r>
      <t>·</t>
    </r>
    <r>
      <rPr>
        <sz val="7"/>
        <color theme="1"/>
        <rFont val="Times New Roman"/>
        <family val="1"/>
      </rPr>
      <t xml:space="preserve">         </t>
    </r>
    <r>
      <rPr>
        <sz val="11"/>
        <color theme="1"/>
        <rFont val="Arial"/>
        <family val="2"/>
      </rPr>
      <t>Inversiones accionarias o patrimoniales</t>
    </r>
  </si>
  <si>
    <t>Los indicadores y análisis que no apliquen se dejaran con celda vacía, es decir no hay que registrar ningún dato.</t>
  </si>
  <si>
    <t>El auditor debe seleccionar aquellos indicadores y aspectos que de acuerdo con su experticia, sean pertinentes para efectuar la evaluación, según la naturaleza, características y misionalidad del sujeto de vigilancia y control fiscal. En consecuencia, el número y tipo de indicadores a utilizar son potestad del auditor, quien puede considerar elementos adicionales para la evaluación.</t>
  </si>
  <si>
    <t>Sujeto de Vigilancia y Control Fiscal:</t>
  </si>
  <si>
    <t>Fecha de revisión Líder:</t>
  </si>
  <si>
    <t>INDICADORES</t>
  </si>
  <si>
    <t>Grado de ejecución del Ingreso</t>
  </si>
  <si>
    <t>(Valor del recaudo del periodo/Total recaudo programado en el mismo periodo) x100</t>
  </si>
  <si>
    <t>Indica el grado de recaudos de la vigencia.</t>
  </si>
  <si>
    <t>INDICADORES PRESUPUESTALES</t>
  </si>
  <si>
    <t xml:space="preserve">Gestión presupuestal de ingresos en relación con el nivel de recaudo (operacionales y no operacionales) en la vigencia evaluada, teniendo en cuenta el análisis comparativo con año(s) anteriores.  </t>
  </si>
  <si>
    <t>Nivel de desempeño presupuestal del ordenador del gasto en términos de eficacia.</t>
  </si>
  <si>
    <t>Grado de Ejecución del Gasto</t>
  </si>
  <si>
    <t>(Valor acumulado del gasto o compromisos suscritos/presupuesto definitivo en el periodo) x100</t>
  </si>
  <si>
    <t>Indica el porcentaje del presupuesto gastado o comprometido</t>
  </si>
  <si>
    <t xml:space="preserve">Gestión presupuestal de gastos (costos) que se relaciona con: Valor acumulado del gasto  o compromisos suscritos,. Teniendo en cuenta el análisis comparativo con año(s) anterior(es). </t>
  </si>
  <si>
    <t>Grado Ejecución de Giros</t>
  </si>
  <si>
    <t>(Valor total de pagos / valor total del presupuesto comprometido) x100</t>
  </si>
  <si>
    <t>Indica el porcentaje del presupuesto efectivamente pagado por compromisos adquiridos</t>
  </si>
  <si>
    <t xml:space="preserve">Gestión presupuestal de gastos (costos) que se relaciona con: Valor acumulado del presupuesto efectivamente pagado. Teniendo en cuenta el análisis comparativo con año(s) anterior(es). </t>
  </si>
  <si>
    <t xml:space="preserve">Grado ejecución de Reservas presupuestales u obligaciones/cuentas por pagar </t>
  </si>
  <si>
    <t>(valor total de pagos de reservas, obligaciones o cuentas por pagar realizados en el periodo / valor definitivo de reservas en el periodo) x100</t>
  </si>
  <si>
    <t>Indica el porcentaje del presupuesto de reservas u obligaciones efectivamente pagadas en el periodo</t>
  </si>
  <si>
    <t xml:space="preserve">Gestión presupuestal de gastos (costos) que se relaciona con: Valor acumulado de reservas u obligaciones constituidas al cierre de la vigencia (Acuerdo 5 de 1998 Concejo de Bogotá) pagadas durante la misma vigencia fiscal. Teniendo en cuenta el análisis comparativo con año(s) anterior(es). </t>
  </si>
  <si>
    <t xml:space="preserve">Ejecución de Vigencias Futuras </t>
  </si>
  <si>
    <t>(Valor de compromisos de vigencias futuras / Valor definitivo de vigencias futuras)x100</t>
  </si>
  <si>
    <t>Grados de compromisos de las vigencias futuras  en el periodo</t>
  </si>
  <si>
    <t xml:space="preserve">Gestión presupuestal de gastos (costos) que se relaciona con: Valor acumulado de Vigencias Futuras en la vigencia a auditar . Teniendo en cuenta el análisis comparativo con año(s) anterior(es) si las hubo. </t>
  </si>
  <si>
    <t xml:space="preserve">Grado de pagos de Vigencias Futuras </t>
  </si>
  <si>
    <t>(Valor de pagos o giros de vigencias futuras / Valor acumulado de compromisos de vigencias futuras)x100</t>
  </si>
  <si>
    <t>Grado de pagos de las vigencias futuras  en el periodo</t>
  </si>
  <si>
    <t xml:space="preserve">Gestión presupuestal de gastos (costos) que se relaciona con: Pagos efectivamente realizados de Vigencias Futuras en la vigencia a auditar.. Teniendo en cuenta el análisis comparativo con año(s) anterior(es) si las hubo. </t>
  </si>
  <si>
    <t>Reservas Constituidas de Inversión</t>
  </si>
  <si>
    <t>(valor total de las reservas constituidas por Inversión en el periodo / valor Ppto definitivo de Inversión del año anterior) x100</t>
  </si>
  <si>
    <t>Indica el porcentaje de reservas por presupuesto de funcionamiento e Inversión (Acuerdo 5 de 1998 Concejo de Bogotá)</t>
  </si>
  <si>
    <t xml:space="preserve">Gestión presupuestal de gastos (costos) que se relaciona con: Valor de las Reservas constituidas de la vigencia a auditar, teniendo en cuenta los requisitos de constitución y el monto limite establecido para funcionamiento e inversión en el Acuerdo 5 de 1998, Concejo de Bogotá. Teniendo en cuenta el análisis comparativo con año(s) anterior(es). </t>
  </si>
  <si>
    <t>Reservas Constituidas de Funcionamiento</t>
  </si>
  <si>
    <t>(valor total de las reservas constituidas por Funcionamiento en el periodo / valor Ppto definitivo de Funcionamiento del año anterior) x100</t>
  </si>
  <si>
    <t>Grado Pagos Pasivos exigibles</t>
  </si>
  <si>
    <t>(valor total depuración,liberaciones, liquidación y pagos realizados en el periodo Pasivos exigibles / valor total Pasivos exigibles) x100</t>
  </si>
  <si>
    <t>Indica el porcentaje de pagos realizados en la depuración de pasivos exigibles</t>
  </si>
  <si>
    <t xml:space="preserve">Gestión presupuestal de gastos (costos) que se relaciona con: La Gestión presupuestal de depuración de los Pasivos Exigibles en la vigencia a auditar. Teniendo en cuenta el análisis comparativo con año(s) anterior(es). </t>
  </si>
  <si>
    <t>Representación Modificaciones Presupuestales</t>
  </si>
  <si>
    <t>(valor total modificaciones presupuestales/ valor total presupuesto definitivo) x100</t>
  </si>
  <si>
    <t>Indica el porcentaje del presupuesto que fue modificado</t>
  </si>
  <si>
    <t xml:space="preserve">Presupuesto modificado (ingresos, gastos y costos) en la vigencia evaluada, realizado(s) mediante acto administrativo (aprobación en Junta Directiva), con las respectivas justificaciones, en términos del principio de eficacia presupuestal.    </t>
  </si>
  <si>
    <t>Eficacia en el recaudo</t>
  </si>
  <si>
    <t>(Total rentas pendientes de cobro en el periodo / Total rentas recaudadas en el periodo)</t>
  </si>
  <si>
    <t>Refleja el comportamiento del recaudo, es decir, la estricta y exacta gestión para el cobro y la recuperación de los impuestos y la calidad del proceso de cobro.</t>
  </si>
  <si>
    <t>EFICACIA Y CRECIMIENTO DEL RECAUDO</t>
  </si>
  <si>
    <r>
      <rPr>
        <b/>
        <sz val="10"/>
        <color indexed="8"/>
        <rFont val="Arial"/>
        <family val="2"/>
      </rPr>
      <t>Eficacia y crecimiento del recaudo:</t>
    </r>
    <r>
      <rPr>
        <sz val="10"/>
        <color indexed="8"/>
        <rFont val="Arial"/>
        <family val="2"/>
      </rPr>
      <t xml:space="preserve"> Gestión del recaudo producto del crecimiento en las rentas por cobrar, para satisfacer las necesidades de la comunidad, en términos de eficiencia y eficacia.</t>
    </r>
  </si>
  <si>
    <t>Nivel de desempeño presupuestal del ordenador del gasto en términos de eficiencia.</t>
  </si>
  <si>
    <t>Condición o Situación encontrada
(Texto)</t>
  </si>
  <si>
    <r>
      <t xml:space="preserve">Tipo de Incorrección o Imposibilidad
</t>
    </r>
    <r>
      <rPr>
        <sz val="11"/>
        <color theme="0"/>
        <rFont val="Arial"/>
        <family val="2"/>
      </rPr>
      <t>(lista desplegable)</t>
    </r>
  </si>
  <si>
    <r>
      <t xml:space="preserve">Clasificación presupuestal
</t>
    </r>
    <r>
      <rPr>
        <sz val="10"/>
        <color theme="0"/>
        <rFont val="Arial"/>
        <family val="2"/>
      </rPr>
      <t>(lista desplegable)</t>
    </r>
  </si>
  <si>
    <r>
      <t xml:space="preserve">Rubro o Aspecto Presupuestal
</t>
    </r>
    <r>
      <rPr>
        <sz val="10"/>
        <color theme="0"/>
        <rFont val="Arial"/>
        <family val="2"/>
      </rPr>
      <t>(Código - Nombre)</t>
    </r>
  </si>
  <si>
    <r>
      <t xml:space="preserve">Origen o Causa
</t>
    </r>
    <r>
      <rPr>
        <sz val="10"/>
        <color theme="0"/>
        <rFont val="Arial"/>
        <family val="2"/>
      </rPr>
      <t>(lista desplegable)</t>
    </r>
  </si>
  <si>
    <r>
      <t xml:space="preserve">Principio Presupuestal afectado
</t>
    </r>
    <r>
      <rPr>
        <sz val="10"/>
        <color theme="0"/>
        <rFont val="Arial"/>
        <family val="2"/>
      </rPr>
      <t>(lista desplegable)</t>
    </r>
  </si>
  <si>
    <r>
      <t xml:space="preserve">Valor de la Incorrección o Imposibilidad
</t>
    </r>
    <r>
      <rPr>
        <sz val="10"/>
        <color theme="0"/>
        <rFont val="Arial"/>
        <family val="2"/>
      </rPr>
      <t>( Valores en pesos)</t>
    </r>
  </si>
  <si>
    <t>Porcentaje (% ) de hallazgo o salvedad respecto a la cuenta presupuestal</t>
  </si>
  <si>
    <r>
      <t xml:space="preserve">Resumen de la Observación o Hallazgo
</t>
    </r>
    <r>
      <rPr>
        <sz val="11"/>
        <color theme="0"/>
        <rFont val="Arial"/>
        <family val="2"/>
      </rPr>
      <t>(texto)</t>
    </r>
  </si>
  <si>
    <t>Efecto en caso de incorrección o 
posible efecto en caso de imposibilidad 
(texto)</t>
  </si>
  <si>
    <t>Presunta
 incidencia</t>
  </si>
  <si>
    <t>Numeral del hallazgo(s) en Informe Final</t>
  </si>
  <si>
    <t>Referencia P/T</t>
  </si>
  <si>
    <t>Auditada la información reportada por la SDH en el aplicativo SIVICOF y a través de la comunicación 2022EE017534O1 del 21/01/2022, se compararon las cifras referentes al recaudo de los Ingresos Tributarios correspondientes a la vigencia 2021, encontrando inconsistencias en los valores reportados</t>
  </si>
  <si>
    <t>Imposibilidades en el Informe de Ejecución de Ingresos</t>
  </si>
  <si>
    <t>O12-RECURSOS DE CAPITAL</t>
  </si>
  <si>
    <t>Falta de gestión</t>
  </si>
  <si>
    <t>Anualidad</t>
  </si>
  <si>
    <t>Hallazgo Administrativo por presentar inconsistencias en la información reportada en el SIVICOF respecto del recaudo de los ingresos tributarios</t>
  </si>
  <si>
    <t>3.3.4.1</t>
  </si>
  <si>
    <t>Como se observa en el Cuadro comparativo, entre el presupuesto disponible y el PAA, existen diferencias en las cifras, lo cual denota falta de coordinación entre las áreas que planean y ejecutan. Así mismo, en el manejo de los rubros antes mencionados, existen debilidades en la planeación, programación y ejecución del  Plan  Anual de Adquisiciones-PAA, en razón a que, el presupuesto planeado y aprobado presenta diferencias considerables con respecto a lo ejecutado en su PAA.</t>
  </si>
  <si>
    <t>Imposibilidades en el Informe de Ejecución de Gastos</t>
  </si>
  <si>
    <t>Planificación</t>
  </si>
  <si>
    <t>Hallazgo Administrativo por la inadecuada programación en el manejo de los rubros de los gastos de funcionamiento y deficiencias en la Planeación del Plan Anual de Adquisiciones - PAA, de la Unidad Ejecutora 1.</t>
  </si>
  <si>
    <t xml:space="preserve">3.3.4.2 </t>
  </si>
  <si>
    <t>Entre el presupuesto disponible y el PAA, existen diferencias en las cifras, lo cual denota falta de coordinación entre las áreas que planean y ejecutan. Así mismo, en el manejo de los rubros antes mencionados, existen debilidades en la planeación, programación y ejecución del PAA, en razón a que, el presupuesto planeado y aprobado presenta diferencias considerables con respecto a lo ejecutado en su PAA.</t>
  </si>
  <si>
    <t>Imposibilidades en el informe de Vigencias Futuras</t>
  </si>
  <si>
    <t>Programación integral</t>
  </si>
  <si>
    <t>Hallazgo Administrativo con presunta incidencia disciplinaria por no iniciar a partir del 01/01/2021 con el mismo registro de las reservas constituidas al cierre de la vigencia 31/12/2020 y por presentar inconsistencias en la información reportada en el Acta de Fenecimiento pasivos exigibles No. 1, Rubro de Funcionamiento del 31 de diciembre de 2021</t>
  </si>
  <si>
    <t>Con Posible Incidencia Disciplinaria</t>
  </si>
  <si>
    <t>3.3.4.3</t>
  </si>
  <si>
    <t>Incorrección en el informe de Ejecución de Obligaciones por pagar de la vigencia auditar</t>
  </si>
  <si>
    <t>Universalidad</t>
  </si>
  <si>
    <t>Incorrección en el informe de Pasivos Exigibles</t>
  </si>
  <si>
    <t>Incorrección en el informe de Vigencias Futuras</t>
  </si>
  <si>
    <t>Falta de soportes</t>
  </si>
  <si>
    <t>Coherencia Macroeconómica</t>
  </si>
  <si>
    <t>Con Posible Incidencia Disciplinaria y Penal</t>
  </si>
  <si>
    <t>Incorrección en el informe de Ejecución de Cuentas por Pagar de la vigencia auditar</t>
  </si>
  <si>
    <t>Inconsistencia en los informes</t>
  </si>
  <si>
    <t>Con Posible Incidencia Penal</t>
  </si>
  <si>
    <t>Incorrección en el informe de Ejecución de Reservas Costituidas por pagar de la vigencia anterior</t>
  </si>
  <si>
    <t>Diferencias en registro</t>
  </si>
  <si>
    <t>Unidad de caja</t>
  </si>
  <si>
    <t>n</t>
  </si>
  <si>
    <t>Totales</t>
  </si>
  <si>
    <r>
      <rPr>
        <b/>
        <sz val="11"/>
        <color theme="1"/>
        <rFont val="Arial"/>
        <family val="2"/>
      </rPr>
      <t>Nota 1:</t>
    </r>
    <r>
      <rPr>
        <sz val="11"/>
        <color theme="1"/>
        <rFont val="Arial"/>
        <family val="2"/>
      </rPr>
      <t xml:space="preserve"> Insertar tantas filas con los desplegables acorde a los resultados de la auditoría</t>
    </r>
  </si>
  <si>
    <t>INCORRECCIONES EVIDENCIADAS</t>
  </si>
  <si>
    <t>IMPOSIBILIDADES PRESENTADAS</t>
  </si>
  <si>
    <t>Respecto al agregado por valor: Número de veces en que las incorrecciones de los Rubros sobrepasan el valor de la materialidad?</t>
  </si>
  <si>
    <t>Respecto al agregado por valor: Número de veces en que las imposibilidades de los Rubros sobrepasan el valor de la materialidad?</t>
  </si>
  <si>
    <t>CLASIFICACIÓN PRESUPUESTAL</t>
  </si>
  <si>
    <t>AFECTACIÓN DE HALLAZGOS</t>
  </si>
  <si>
    <t>RESULTADO
con Afectación de Hallazgos</t>
  </si>
  <si>
    <t>Número de INCORRECCIONES en función a la Materialidad
(En función al valor)</t>
  </si>
  <si>
    <t>Número de INCORRECCIONES en función a la Materialidad
(En %)</t>
  </si>
  <si>
    <t>Número de IMPOSIBILIDADES en función a la Materialidad
(En función al valor)</t>
  </si>
  <si>
    <t>Número de 
IMPOSIBILIDADES en función a la Materialidad
(En %)</t>
  </si>
  <si>
    <t>Número de INCORRECCIONES+
IMPOSIBILIDADES en función a la Materialidad
(En función al valor)</t>
  </si>
  <si>
    <t>Número de INCORRECCIONES+
IMPOSIBILIDADES en función a la Materialidad
(En %)</t>
  </si>
  <si>
    <t>Con Incidencia Fiscal</t>
  </si>
  <si>
    <t>Con Incidencia Fiscal y posible Disciplinaria</t>
  </si>
  <si>
    <t xml:space="preserve">TOTALES </t>
  </si>
  <si>
    <t>CONSOLIDADO</t>
  </si>
  <si>
    <t>INDICE PREDOMINATE ENTRE INGRESOS Y GASTOS / NUMERO DE INCORRECCIONES + IMPOSIBILIDADES</t>
  </si>
  <si>
    <r>
      <rPr>
        <sz val="11"/>
        <color theme="1"/>
        <rFont val="Arial"/>
        <family val="2"/>
      </rPr>
      <t xml:space="preserve">LAS INCORRECCIONES + IMPOSIBILIDADES SON </t>
    </r>
    <r>
      <rPr>
        <b/>
        <sz val="11"/>
        <color theme="1"/>
        <rFont val="Arial"/>
        <family val="2"/>
      </rPr>
      <t>NO MATERIALES</t>
    </r>
  </si>
  <si>
    <r>
      <rPr>
        <sz val="11"/>
        <color theme="1"/>
        <rFont val="Arial"/>
        <family val="2"/>
      </rPr>
      <t>LAS INCORRECCIONES + IMPOSIBILIDADES SON</t>
    </r>
    <r>
      <rPr>
        <b/>
        <sz val="11"/>
        <color theme="1"/>
        <rFont val="Arial"/>
        <family val="2"/>
      </rPr>
      <t xml:space="preserve"> MATERIALES</t>
    </r>
  </si>
  <si>
    <r>
      <rPr>
        <sz val="11"/>
        <color theme="1"/>
        <rFont val="Arial"/>
        <family val="2"/>
      </rPr>
      <t>LAS INCORRECCIONES + IMPOSIBILIDADES SON</t>
    </r>
    <r>
      <rPr>
        <b/>
        <sz val="11"/>
        <color theme="1"/>
        <rFont val="Arial"/>
        <family val="2"/>
      </rPr>
      <t xml:space="preserve"> MATERIALES GENERALIZADAS</t>
    </r>
  </si>
  <si>
    <t>SI LAS INCORRECCIONES + LAS IMPOSIBILIDADES SON MATERIALES Y GENERALIZADAS, ESTABLECER CUALES SON PREDOMINANTES</t>
  </si>
  <si>
    <t>Sección Informativa que no requiere ningún diligenciamiento</t>
  </si>
  <si>
    <t>CONCEPTO CONSOLIDADO</t>
  </si>
  <si>
    <t>CALIFICACION CONSOLIDADA</t>
  </si>
  <si>
    <t>Puntaje asignado de acuerdo con la opinión.</t>
  </si>
  <si>
    <r>
      <t>NO MATERIAL</t>
    </r>
    <r>
      <rPr>
        <sz val="11"/>
        <color indexed="8"/>
        <rFont val="Arial"/>
        <family val="2"/>
      </rPr>
      <t xml:space="preserve"> 
Menores a 1 vez la materialidad establecida para el total de los Rubros del Ingreso o los Rubos de Gastos.</t>
    </r>
  </si>
  <si>
    <r>
      <t>NO MATERIAL</t>
    </r>
    <r>
      <rPr>
        <sz val="11"/>
        <color indexed="8"/>
        <rFont val="Arial"/>
        <family val="2"/>
      </rPr>
      <t xml:space="preserve"> 
Menores a 1 vez la materialidad establecida para del Los Rubros de Ingresos o los Rubros de Gastos.</t>
    </r>
  </si>
  <si>
    <r>
      <t>NO MATERIAL</t>
    </r>
    <r>
      <rPr>
        <sz val="11"/>
        <color indexed="8"/>
        <rFont val="Arial"/>
        <family val="2"/>
      </rPr>
      <t xml:space="preserve"> 
Menores a 1 vez la materialidad establecida para el total de LOS Rubros de Ingresos o los Rubros de Gastos.</t>
    </r>
  </si>
  <si>
    <r>
      <t xml:space="preserve">MATERIAL 
</t>
    </r>
    <r>
      <rPr>
        <sz val="11"/>
        <color indexed="8"/>
        <rFont val="Arial"/>
        <family val="2"/>
      </rPr>
      <t>Mayor a 1 Vez y menor a 5 veces la materialidad establecida para el total de los Rubros de Ingresos o de los Rubros de Gastos</t>
    </r>
  </si>
  <si>
    <r>
      <t xml:space="preserve">MATERIAL 
</t>
    </r>
    <r>
      <rPr>
        <sz val="11"/>
        <color indexed="8"/>
        <rFont val="Arial"/>
        <family val="2"/>
      </rPr>
      <t>Mayor a 1 Vez y menor a 5 veces la materialidad establecida para el total de los Rubros de Ingresos o de los Gastos</t>
    </r>
  </si>
  <si>
    <r>
      <t xml:space="preserve">MATERIAL 
</t>
    </r>
    <r>
      <rPr>
        <sz val="11"/>
        <color indexed="8"/>
        <rFont val="Arial"/>
        <family val="2"/>
      </rPr>
      <t>Mayor a 1 Vez y menor a 5 veces la materialidad establecida para el total de los Rubros de Ingresos o de Gastos</t>
    </r>
  </si>
  <si>
    <r>
      <rPr>
        <b/>
        <sz val="11"/>
        <color indexed="8"/>
        <rFont val="Arial"/>
        <family val="2"/>
      </rPr>
      <t>MATERIAL GENERALIZADA</t>
    </r>
    <r>
      <rPr>
        <sz val="11"/>
        <color indexed="8"/>
        <rFont val="Arial"/>
        <family val="2"/>
      </rPr>
      <t xml:space="preserve">
Mayor o igual a 5 veces la materialidad establecida para el total de los Rubros de Ingresos o de los Rubros de Gastos</t>
    </r>
  </si>
  <si>
    <r>
      <rPr>
        <b/>
        <sz val="11"/>
        <color indexed="8"/>
        <rFont val="Arial"/>
        <family val="2"/>
      </rPr>
      <t>MATERIAL GENERALIZADA</t>
    </r>
    <r>
      <rPr>
        <sz val="11"/>
        <color indexed="8"/>
        <rFont val="Arial"/>
        <family val="2"/>
      </rPr>
      <t xml:space="preserve">
Mayor o igual a 5 veces la materialidad establecida para el total de los Rubros de Ingresos o los Rubros de Gastos</t>
    </r>
  </si>
  <si>
    <r>
      <rPr>
        <b/>
        <sz val="11"/>
        <color indexed="8"/>
        <rFont val="Arial"/>
        <family val="2"/>
      </rPr>
      <t>MATERIAL GENERALIZADA</t>
    </r>
    <r>
      <rPr>
        <sz val="11"/>
        <color indexed="8"/>
        <rFont val="Arial"/>
        <family val="2"/>
      </rPr>
      <t xml:space="preserve">
Mayor o Igual a 5 veces la materialidad establecida para el total de los Rubros de Ingresos o de Gastos</t>
    </r>
  </si>
  <si>
    <r>
      <rPr>
        <b/>
        <sz val="11"/>
        <color indexed="8"/>
        <rFont val="Arial"/>
        <family val="2"/>
      </rPr>
      <t xml:space="preserve">MATERIAL GENERALIZADA
</t>
    </r>
    <r>
      <rPr>
        <sz val="11"/>
        <color indexed="8"/>
        <rFont val="Arial"/>
        <family val="2"/>
      </rPr>
      <t>Mayor o igual a 5 veces la materilidad establecidad para el total de Los Rubros de Ingresos o los Rubros de Gastos, siempre y cuando el numero de veces de las imposibilidades supere el nuemero de veces de las incorrecciones incorrecciones.</t>
    </r>
  </si>
  <si>
    <t>Nombre</t>
  </si>
  <si>
    <t>Personal de Apoyo</t>
  </si>
  <si>
    <t>Observaciones del Líder</t>
  </si>
  <si>
    <t>% Materialidad con Concepto Vig Anterior</t>
  </si>
  <si>
    <t>% Materialidad sin Concepto Vig Anterior</t>
  </si>
  <si>
    <t>Tipo de Incorrección o Imposibilidad
(lista desplegable)</t>
  </si>
  <si>
    <r>
      <t xml:space="preserve">Clasificación presupuestal
</t>
    </r>
    <r>
      <rPr>
        <sz val="11"/>
        <color indexed="8"/>
        <rFont val="Arial"/>
        <family val="2"/>
      </rPr>
      <t>(lista desplegable)</t>
    </r>
  </si>
  <si>
    <r>
      <t xml:space="preserve">Origen o Causa
</t>
    </r>
    <r>
      <rPr>
        <sz val="11"/>
        <color indexed="8"/>
        <rFont val="Arial"/>
        <family val="2"/>
      </rPr>
      <t>(lista desplegable)</t>
    </r>
  </si>
  <si>
    <r>
      <t xml:space="preserve">Tipo de Hallazgo
</t>
    </r>
    <r>
      <rPr>
        <sz val="11"/>
        <color theme="1"/>
        <rFont val="Arial"/>
        <family val="2"/>
      </rPr>
      <t>(lista desplegable)</t>
    </r>
  </si>
  <si>
    <r>
      <t xml:space="preserve">Principios
</t>
    </r>
    <r>
      <rPr>
        <sz val="11"/>
        <color theme="1"/>
        <rFont val="Arial"/>
        <family val="2"/>
      </rPr>
      <t>(lista desplegable)</t>
    </r>
  </si>
  <si>
    <t>Afectación por Tipo de Hallazgo</t>
  </si>
  <si>
    <t>Entidades del sector central: Secretaria de Despacho, Secretaría Distrital de Hacienda; Unidades Administrativas,Departamentos Administrativos. Así como Establecimientos Públicos, Universidad Distrital Francisco José de Caldas, Fondos financiero de salud, y Fondos de Desarrollo local -FDL</t>
  </si>
  <si>
    <t>Entidades del sector descentralizado: Empresas Industriales y Comerciales, Empresas Sociales del Estado</t>
  </si>
  <si>
    <t>Falta de registros</t>
  </si>
  <si>
    <t>Sin Hallazgos</t>
  </si>
  <si>
    <t>CÓDIGO INGRESOS</t>
  </si>
  <si>
    <t>Imposibilidades en el informe de Ejecución de Cuentas por Pagar de la vigencia auditar</t>
  </si>
  <si>
    <t>O1</t>
  </si>
  <si>
    <t>X</t>
  </si>
  <si>
    <t>Incorrección en el informe de Ejecución de Cuentas por Pagar de la vigencia anterior</t>
  </si>
  <si>
    <t>O10</t>
  </si>
  <si>
    <t>DISPONIBILIDAD INICIAL</t>
  </si>
  <si>
    <t>PREDOMINA INCORRECCIONES</t>
  </si>
  <si>
    <t>Imposibilidades en el informe de Ejecución de Cuentas por Pagar de la vigencia anterior</t>
  </si>
  <si>
    <t>O1002</t>
  </si>
  <si>
    <t>Bancos</t>
  </si>
  <si>
    <t>Incorrección en el Informe de Ejecución de Gastos</t>
  </si>
  <si>
    <t xml:space="preserve">Falta de Controles </t>
  </si>
  <si>
    <t>O1003</t>
  </si>
  <si>
    <t>Inversiones Temporales</t>
  </si>
  <si>
    <t>PREDOMINA IMPOSIBILIDADES</t>
  </si>
  <si>
    <t>Especialización</t>
  </si>
  <si>
    <t>O11</t>
  </si>
  <si>
    <t>INGRESOS CORRIENTES</t>
  </si>
  <si>
    <t>Incorrección en el informe de Ejecución de Reservas Costituidas por pagar de la vigencia auditar</t>
  </si>
  <si>
    <t>Incumplimiento Normativos - Procedimientos</t>
  </si>
  <si>
    <t>O1101</t>
  </si>
  <si>
    <t>Tributarios</t>
  </si>
  <si>
    <t>Imposibilidades en el informe de Ejecución de Reservas Costituidas por pagar de la vigencia auditar</t>
  </si>
  <si>
    <t>Información no disponible</t>
  </si>
  <si>
    <t>Con Incidencia Fiscal y posible Penal</t>
  </si>
  <si>
    <t>Sostenibilidad y Estabilidad Fiscal</t>
  </si>
  <si>
    <t>O1102</t>
  </si>
  <si>
    <t>No Tributarios</t>
  </si>
  <si>
    <t>Información no verificable</t>
  </si>
  <si>
    <t>Con Incidencia Fiscal y posible Disciplinaria y Penal</t>
  </si>
  <si>
    <t>Inembargabilidad</t>
  </si>
  <si>
    <t>O12</t>
  </si>
  <si>
    <t>RECURSOS DE CAPITAL</t>
  </si>
  <si>
    <t>Imposibilidades en el informe de Ejecución de Obligaciones por pagar de la vigencia auditar</t>
  </si>
  <si>
    <t>Diferencias en cifras</t>
  </si>
  <si>
    <t>Autonomia presupuestal</t>
  </si>
  <si>
    <t>O1201</t>
  </si>
  <si>
    <t>Disposición de activos</t>
  </si>
  <si>
    <t>Bajo Recaudo</t>
  </si>
  <si>
    <t>Legalidad</t>
  </si>
  <si>
    <t>O1202</t>
  </si>
  <si>
    <t>Excedentes financieros</t>
  </si>
  <si>
    <t>114 - Secretaría Distrital de Salud – SDS y 201 - Fondo Financiero Distrital de Salud – FFDS</t>
  </si>
  <si>
    <t>Imposibilidades en el informe de Ejecución de Reservas Costituidas por pagar de la vigencia anterior</t>
  </si>
  <si>
    <t>Recaudo Inoportuno</t>
  </si>
  <si>
    <t>O1203</t>
  </si>
  <si>
    <t>Dividendos y utilidades por otras Inversiones de CAPITAL</t>
  </si>
  <si>
    <t>Incorrección en el informe de Ejecución de Obligaciones por pagar de la vigencia anterior</t>
  </si>
  <si>
    <t>Recaudo no programado</t>
  </si>
  <si>
    <t>O1205</t>
  </si>
  <si>
    <t>Rendimientos financieros</t>
  </si>
  <si>
    <t>Imposibilidades en el informe de Ejecución de Obligaciones por pagar de la vigencia anterior</t>
  </si>
  <si>
    <t>Registros en Rubro no pertinente</t>
  </si>
  <si>
    <t>O1206</t>
  </si>
  <si>
    <t>RECURSOS de crédito externo</t>
  </si>
  <si>
    <t>Inconsistencia de cantidad</t>
  </si>
  <si>
    <t>O1207</t>
  </si>
  <si>
    <t>RECURSOS de crédito interno</t>
  </si>
  <si>
    <t>Imposibilidades en el informe de Pasivos Exigibles</t>
  </si>
  <si>
    <t>Inconsistencia por clasificación</t>
  </si>
  <si>
    <t>O1208</t>
  </si>
  <si>
    <t>Transferencias de CAPITAL</t>
  </si>
  <si>
    <t>Incorrección en el Informe de Ejecución de GASTOS de Funcionamiento</t>
  </si>
  <si>
    <t>Baja Ejecución</t>
  </si>
  <si>
    <t>O1209</t>
  </si>
  <si>
    <t>Recuperación de cartera</t>
  </si>
  <si>
    <t>Imposibilidades en el Informe de Ejecución de GASTOS de Funcionamiento</t>
  </si>
  <si>
    <t>Incumplimiento en el Recaudo</t>
  </si>
  <si>
    <t>O1210</t>
  </si>
  <si>
    <t>RECURSOS del balance</t>
  </si>
  <si>
    <t>Incorrección en el Informe de Ejecución de Ingresos</t>
  </si>
  <si>
    <t>Inconsistencias en las cifras presupuestales</t>
  </si>
  <si>
    <t>O1211</t>
  </si>
  <si>
    <t>Diferencial cambiario</t>
  </si>
  <si>
    <t>Otros</t>
  </si>
  <si>
    <t>O1212</t>
  </si>
  <si>
    <t>Retiros FONPET</t>
  </si>
  <si>
    <t>O1213</t>
  </si>
  <si>
    <t>Reintegros y otros RECURSOS no apropiados</t>
  </si>
  <si>
    <t>O122</t>
  </si>
  <si>
    <t>Transferencias</t>
  </si>
  <si>
    <t>O12201</t>
  </si>
  <si>
    <t>Transferencias corrientes nacionales</t>
  </si>
  <si>
    <t>O12202</t>
  </si>
  <si>
    <t>Departamentales</t>
  </si>
  <si>
    <t>O12203</t>
  </si>
  <si>
    <t>Distritales</t>
  </si>
  <si>
    <t>O12204</t>
  </si>
  <si>
    <t>Otras Transferencias</t>
  </si>
  <si>
    <t>O15</t>
  </si>
  <si>
    <t>Transferencias Administración Central</t>
  </si>
  <si>
    <t>CÓDIGO GASTOS</t>
  </si>
  <si>
    <t>O2</t>
  </si>
  <si>
    <t>O21</t>
  </si>
  <si>
    <t>GASTOS DE FUNCIONAMIENTO</t>
  </si>
  <si>
    <t>O211</t>
  </si>
  <si>
    <t>Gasto de personal</t>
  </si>
  <si>
    <t>O21101</t>
  </si>
  <si>
    <t>Planta de Personal permanente</t>
  </si>
  <si>
    <t>O21102</t>
  </si>
  <si>
    <t>Personal supernumerario y Planta temporal</t>
  </si>
  <si>
    <t>No Aplica</t>
  </si>
  <si>
    <t>O212</t>
  </si>
  <si>
    <t>Adquisición bienes y servicios</t>
  </si>
  <si>
    <t>O21201</t>
  </si>
  <si>
    <t>Adquisición de activos no financieros</t>
  </si>
  <si>
    <t>O21202</t>
  </si>
  <si>
    <t>Adquisiciones diferentes de activos</t>
  </si>
  <si>
    <t>O213</t>
  </si>
  <si>
    <t>Transferencias CORRIENTES</t>
  </si>
  <si>
    <t>O21304</t>
  </si>
  <si>
    <t>A organizaciones nacionales</t>
  </si>
  <si>
    <t>O21305</t>
  </si>
  <si>
    <t>A entidades del gobierno</t>
  </si>
  <si>
    <t>O21314</t>
  </si>
  <si>
    <t>Aportes al FONPET</t>
  </si>
  <si>
    <t>O217</t>
  </si>
  <si>
    <t>Disminución de Pasivos</t>
  </si>
  <si>
    <t>O218</t>
  </si>
  <si>
    <t>O22</t>
  </si>
  <si>
    <t>SERVICIO DE LA DEUDA PÚBLICA</t>
  </si>
  <si>
    <t>O221</t>
  </si>
  <si>
    <t>Servicios de la deuda pública externa</t>
  </si>
  <si>
    <t>O22101</t>
  </si>
  <si>
    <t>Principal</t>
  </si>
  <si>
    <t>O22102</t>
  </si>
  <si>
    <t>Intereses</t>
  </si>
  <si>
    <t>O222</t>
  </si>
  <si>
    <t>Servicios de la deuda pública interna</t>
  </si>
  <si>
    <t>O22201</t>
  </si>
  <si>
    <t>O22202</t>
  </si>
  <si>
    <t>O22203</t>
  </si>
  <si>
    <t>Comisiones y otros GASTOS</t>
  </si>
  <si>
    <t>O23</t>
  </si>
  <si>
    <t>INVERSIÓN</t>
  </si>
  <si>
    <t>O2301</t>
  </si>
  <si>
    <t>Directa</t>
  </si>
  <si>
    <t>O233</t>
  </si>
  <si>
    <t>O23301</t>
  </si>
  <si>
    <t>Subvenciones</t>
  </si>
  <si>
    <t>O23302</t>
  </si>
  <si>
    <t>A empresas diferentes de subvenciones</t>
  </si>
  <si>
    <t>Pasivos Otros Distrito</t>
  </si>
  <si>
    <t>O23305</t>
  </si>
  <si>
    <t>Reservas de la vigencia anterior</t>
  </si>
  <si>
    <t>O23307</t>
  </si>
  <si>
    <t>Prestaciones para cubrir riesgos sociales</t>
  </si>
  <si>
    <t>Gastos comprometidos</t>
  </si>
  <si>
    <t>O23313</t>
  </si>
  <si>
    <t>Sentencias y conciliaciones</t>
  </si>
  <si>
    <t>Gastos Generales</t>
  </si>
  <si>
    <t>O234</t>
  </si>
  <si>
    <t>Transferencias para INVERSIÓN</t>
  </si>
  <si>
    <t>Gastos de Operación</t>
  </si>
  <si>
    <t>O23401</t>
  </si>
  <si>
    <t>Transferencia Distrital</t>
  </si>
  <si>
    <t>Gastos Diversos</t>
  </si>
  <si>
    <t>Otros Rubros Presupuestales</t>
  </si>
  <si>
    <t>O4</t>
  </si>
  <si>
    <t>DISPONIBILIDAD FINAL</t>
  </si>
  <si>
    <t>CÓDIGO OTROS GASTOS</t>
  </si>
  <si>
    <t>No Presenta</t>
  </si>
  <si>
    <t xml:space="preserve">500 - Fondo Distrital para la Gestión de Riesgos y Cambio Climático de Bogotá D.C. –FONDIGER </t>
  </si>
  <si>
    <t>INSTRUMENTO PARA LA CALIFICACIÓN DE LA GESTIÓN FISCAL</t>
  </si>
  <si>
    <t>AUDITORÍA FINANCIERA, DE GESTIÓN Y RESULTADOS</t>
  </si>
  <si>
    <t>PONDERACIÓN MACRO</t>
  </si>
  <si>
    <t>PONDERACIÓN PRO</t>
  </si>
  <si>
    <t>PRINCIPIOS DE LA GESTIÓN FISCAL</t>
  </si>
  <si>
    <t>ECONOMIA</t>
  </si>
  <si>
    <t>CONCEPTO  GESTIÓN DESEMPEÑO FINANCIERO</t>
  </si>
  <si>
    <t>TOTAL MACROPROCESO GESTIÓN FINANCIERA</t>
  </si>
  <si>
    <t>GESTIÓN PRESUPUESTAL Y RESULTADOS</t>
  </si>
  <si>
    <t>TOTAL PROCESO GESTIÓN PRESUPUESTAL</t>
  </si>
  <si>
    <t>GESTIÓN Y RESULTADOS</t>
  </si>
  <si>
    <t>TOTAL PONDERADO</t>
  </si>
  <si>
    <t>Calificación por Principio</t>
  </si>
  <si>
    <t>CONCEPTO DE GESTIÓN</t>
  </si>
  <si>
    <t>CONTROL FISCAL INTERNO</t>
  </si>
  <si>
    <t>CONCEPTO DE CALIDAD Y EFICIENCIA</t>
  </si>
  <si>
    <t>CONTROL INTERNO CONTABLE</t>
  </si>
  <si>
    <t>CALIFICACIÓN PLAN DE MEJORAMIENTO</t>
  </si>
  <si>
    <t xml:space="preserve">SUPERVISOR: </t>
  </si>
  <si>
    <t>Fecha de Revisión:</t>
  </si>
  <si>
    <t>PRINCIPIOS</t>
  </si>
  <si>
    <t>Eficacia</t>
  </si>
  <si>
    <t>Eficiencia</t>
  </si>
  <si>
    <t>ESTRUCTURA</t>
  </si>
  <si>
    <t>PONDERACIÓN INICIAL</t>
  </si>
  <si>
    <t>CON DATOS EFICACIA</t>
  </si>
  <si>
    <t>CON DATOS EFICIENCIA</t>
  </si>
  <si>
    <t xml:space="preserve">PRINCIPIO </t>
  </si>
  <si>
    <t>Clientes/ Mercados y Negocios</t>
  </si>
  <si>
    <t>&gt;=75%</t>
  </si>
  <si>
    <t>RESULTADO POR PRINCIPIO</t>
  </si>
  <si>
    <t xml:space="preserve">La calificación otorgada debe ser incluida en escala de 0 a 100, siendo 0% la mínima calificación posible y 100% la máxima calificación posible. </t>
  </si>
  <si>
    <t xml:space="preserve">VALOR ANUAL PLAN ESTRATEGICO </t>
  </si>
  <si>
    <t>OBJETIVO</t>
  </si>
  <si>
    <t>ESTRATEGIA/PROYECTO/UNIDAD DE NEGOCIO</t>
  </si>
  <si>
    <t>NOMBRE DEL INDICADOR</t>
  </si>
  <si>
    <t>FORMULA DEL INDICADOR</t>
  </si>
  <si>
    <t>LÍNEA BASE</t>
  </si>
  <si>
    <t>META PROGRAMADA</t>
  </si>
  <si>
    <t>META EJECUTADA</t>
  </si>
  <si>
    <t>NUMERAL HALLAZGO DEL INFORME</t>
  </si>
  <si>
    <t>VALOR DEL HALLAZGO DEL INFORME</t>
  </si>
  <si>
    <t>PRESUPUESTO DE INGRESOS</t>
  </si>
  <si>
    <t>COMPARATIVO VIGENCIAS</t>
  </si>
  <si>
    <t>ANÁLISIS VIGENCIA ACTUAL</t>
  </si>
  <si>
    <t xml:space="preserve">Valores en Pesos </t>
  </si>
  <si>
    <t>Rubro y/o cuenta presupuestal</t>
  </si>
  <si>
    <t>Presupuesto definitivo
Vigencia Anterior</t>
  </si>
  <si>
    <t>% Participación
Presupuesto definitivo
(vigencia anterior)</t>
  </si>
  <si>
    <t xml:space="preserve">Presupuesto definitivo Vigencia Actual </t>
  </si>
  <si>
    <t>% Participación
Presupuesto definitivo
(vigencia actual)</t>
  </si>
  <si>
    <t>Variación 
 absoluta</t>
  </si>
  <si>
    <t>% variación</t>
  </si>
  <si>
    <t>Explicación variación y participación</t>
  </si>
  <si>
    <t>Presupuesto Inicial a Auditar</t>
  </si>
  <si>
    <t>Modificaciones</t>
  </si>
  <si>
    <t>Presupuesto Definitivo
Vigencia a Auditar</t>
  </si>
  <si>
    <t>Recaudo acumulado vigencia actual</t>
  </si>
  <si>
    <t>% Recaudo acumulado vigencia actual</t>
  </si>
  <si>
    <t>Muestra</t>
  </si>
  <si>
    <t>Observaciones</t>
  </si>
  <si>
    <t>Menos</t>
  </si>
  <si>
    <t>Más</t>
  </si>
  <si>
    <t>PRESUPUESTO DE GASTOS</t>
  </si>
  <si>
    <t xml:space="preserve">Presupuesto vigente
(vigencia anterior) </t>
  </si>
  <si>
    <t>% Participación Presupuesto vigente
(vigencia anterior)</t>
  </si>
  <si>
    <t>Presupuesto vigente 
(vigencia actual)</t>
  </si>
  <si>
    <t>% Participación Presupuesto vigente 
(vigencia actual)</t>
  </si>
  <si>
    <t>Presupuesto vigente
(vigencia a auditar)</t>
  </si>
  <si>
    <t>Compromisos acumulados vigencia actual</t>
  </si>
  <si>
    <t>% Compromisos acumulados vigencia actual</t>
  </si>
  <si>
    <t>Giros acumulados vigencia actual</t>
  </si>
  <si>
    <t>% Giros acumulados vigencia actual</t>
  </si>
  <si>
    <t>Observaciones 
(Especialmente a compromisos y giros, entre otras)</t>
  </si>
  <si>
    <t>PRESUPUESTO DE GASTOS – RESERVAS / OBLIGACIONES POR PAGAR / CUENTAS POR PAGAR / PASIVOS EXIGIBLES / VIGENCIAS FUTURAS</t>
  </si>
  <si>
    <r>
      <t xml:space="preserve">CÓDIGO
</t>
    </r>
    <r>
      <rPr>
        <sz val="11"/>
        <color theme="0"/>
        <rFont val="Arial"/>
        <family val="2"/>
      </rPr>
      <t>(Si lo hay)</t>
    </r>
  </si>
  <si>
    <t>Aspecto</t>
  </si>
  <si>
    <t xml:space="preserve">Diligenciar de conformidad con el nivel de desagregación que el auditor considere y de acuerdo con el alcance del Plan de Trabajo. Se recomienda escoger aquello(a)s de mayor riesgo sobre los cuales se deberá focalizar la auditoría, incluyendo como mínimo las cuentas agregadas consideradas como Base de Análisis (Ingresos, Gastos/Costos y Gastos, Reservas, Obligaciones y/o Cuentas por Pagar). </t>
  </si>
  <si>
    <t>Aquellos seleccionados en la planeación con mayor riesgo, que focalizarán la auditoria. Por ejemplo aquellos rubros con baja ejecución y giros acumulados, que estén por debajo del 75%.Los cálculos automáticos para el análisis el auditor sobre los agregados y para aquellas cuentas que encuentre con alto riesgo, suceptibles de incluir en la muestra.</t>
  </si>
  <si>
    <r>
      <rPr>
        <b/>
        <sz val="11"/>
        <color theme="1"/>
        <rFont val="Arial"/>
        <family val="2"/>
      </rPr>
      <t xml:space="preserve">Nota 1: </t>
    </r>
    <r>
      <rPr>
        <sz val="11"/>
        <color theme="1"/>
        <rFont val="Arial"/>
        <family val="2"/>
      </rPr>
      <t>Con el diligenciamiento de este instrumento se pretende establecer el universo de los rubros y/o cuentas presupuestales a tener en cuenta del Sujeto de Control con corte a diciembre 31 de la vigencia a auditar y de esta forma establecer su participación % y principales variaciones con respecto a diciembre 31 del año anterior.</t>
    </r>
  </si>
  <si>
    <r>
      <rPr>
        <b/>
        <sz val="11"/>
        <color theme="1"/>
        <rFont val="Arial"/>
        <family val="2"/>
      </rPr>
      <t>Nota 2:</t>
    </r>
    <r>
      <rPr>
        <sz val="11"/>
        <color theme="1"/>
        <rFont val="Arial"/>
        <family val="2"/>
      </rPr>
      <t xml:space="preserve"> A partir de lo anterior, con el fin de focalizar la Muestra a Seleccionar, se dará aplicación a los criterios establecidos para seleccionar la muestra según los procedimientos establecidos.</t>
    </r>
  </si>
  <si>
    <r>
      <rPr>
        <b/>
        <sz val="11"/>
        <color theme="1"/>
        <rFont val="Arial"/>
        <family val="2"/>
      </rPr>
      <t>Nota 4</t>
    </r>
    <r>
      <rPr>
        <sz val="11"/>
        <color theme="1"/>
        <rFont val="Arial"/>
        <family val="2"/>
      </rPr>
      <t>: Se pueden agregar filas debajo de la primera y antes de la última fila de cada grupo de Ingresos o Gastos; para efectos de no alterar la formulación</t>
    </r>
  </si>
  <si>
    <t>PLANES Y PROYECTOS</t>
  </si>
  <si>
    <t>GASTO PÚBLICO</t>
  </si>
  <si>
    <t>CC</t>
  </si>
  <si>
    <t>Concepto gestión presupuestal</t>
  </si>
  <si>
    <t xml:space="preserve">Concepto gestión y resultados </t>
  </si>
  <si>
    <t>Concepto consolidado de Gestión Presupuestal y Resultados</t>
  </si>
  <si>
    <t>Concepto consolidado de Gestión Financiera</t>
  </si>
  <si>
    <t>Fenecimiento</t>
  </si>
  <si>
    <t>No Razonable</t>
  </si>
  <si>
    <t>NO FENECE</t>
  </si>
  <si>
    <t>No razonable</t>
  </si>
  <si>
    <t>FENECE</t>
  </si>
  <si>
    <t>Limpio o Sin Salvedades</t>
  </si>
  <si>
    <t>Concepto gestión Estados Financieros</t>
  </si>
  <si>
    <t>Concepto gestión Desempeño Financiero</t>
  </si>
  <si>
    <t>PROCESO GESTIÓN PRESUPUESTAL</t>
  </si>
  <si>
    <t>RAZONABLE</t>
  </si>
  <si>
    <t>NO RAZONABLE</t>
  </si>
  <si>
    <t>Favorable</t>
  </si>
  <si>
    <t>Con Observaciones</t>
  </si>
  <si>
    <t>Desfavorable</t>
  </si>
  <si>
    <t>Concepto Planes y Proyectos</t>
  </si>
  <si>
    <t>Concepto Gasto Público</t>
  </si>
  <si>
    <t>Concepto consolidado de Gestión y Resultados</t>
  </si>
  <si>
    <t>TOTAL PROCESO GESTIÓN Y RESULTADOS</t>
  </si>
  <si>
    <r>
      <rPr>
        <b/>
        <sz val="11"/>
        <color theme="1"/>
        <rFont val="Arial"/>
        <family val="2"/>
      </rPr>
      <t>HALLAZGOS PARA CONCEPTO PRESUPUESTAL
INSTRUCCIONES:</t>
    </r>
    <r>
      <rPr>
        <sz val="11"/>
        <color theme="1"/>
        <rFont val="Arial"/>
        <family val="2"/>
      </rPr>
      <t xml:space="preserve">
</t>
    </r>
    <r>
      <rPr>
        <b/>
        <sz val="11"/>
        <color theme="1"/>
        <rFont val="Arial"/>
        <family val="2"/>
      </rPr>
      <t xml:space="preserve">Columna Condición o Situación encontrada: </t>
    </r>
    <r>
      <rPr>
        <sz val="11"/>
        <color theme="1"/>
        <rFont val="Arial"/>
        <family val="2"/>
      </rPr>
      <t xml:space="preserve">En esta sección el auditor debe describir brevemente la condición o situación encontrada relacionada con la cuenta, rubro o aspecto evaluado en el que se identificó la inconsistencia o deficiencia de control.
</t>
    </r>
    <r>
      <rPr>
        <b/>
        <sz val="11"/>
        <color theme="1"/>
        <rFont val="Arial"/>
        <family val="2"/>
      </rPr>
      <t xml:space="preserve">Columna Tipo de Incorrección o Imposibilidad: </t>
    </r>
    <r>
      <rPr>
        <sz val="11"/>
        <color theme="1"/>
        <rFont val="Arial"/>
        <family val="2"/>
      </rPr>
      <t>En esta sección el auditor debe seleccionar el tipo de incorrección o imposibilidad, de acuerdo con rubro presupuestal en el que se identificó la inconsistencia o deficiencia.</t>
    </r>
    <r>
      <rPr>
        <b/>
        <sz val="11"/>
        <color theme="1"/>
        <rFont val="Arial"/>
        <family val="2"/>
      </rPr>
      <t xml:space="preserve">
Columna Clasificación presupuestal:</t>
    </r>
    <r>
      <rPr>
        <sz val="11"/>
        <color theme="1"/>
        <rFont val="Arial"/>
        <family val="2"/>
      </rPr>
      <t xml:space="preserve"> Seleccionar la fila del rubro presupuestal agregado al cual pertenece la subcuenta en la que se identificó el hallazgo.
</t>
    </r>
    <r>
      <rPr>
        <b/>
        <sz val="11"/>
        <color theme="1"/>
        <rFont val="Arial"/>
        <family val="2"/>
      </rPr>
      <t>Columna Rubro o Aspecto Presupuestal:</t>
    </r>
    <r>
      <rPr>
        <sz val="11"/>
        <color theme="1"/>
        <rFont val="Arial"/>
        <family val="2"/>
      </rPr>
      <t xml:space="preserve"> Según el tipo de hallazgo y el rubro presupuestal, en la columna D, se registrará el rubro o cuenta presupuestal concreta por dónde se detectó el hallazgo.
</t>
    </r>
    <r>
      <rPr>
        <b/>
        <sz val="11"/>
        <color theme="1"/>
        <rFont val="Arial"/>
        <family val="2"/>
      </rPr>
      <t>Columna Origen o Causa:</t>
    </r>
    <r>
      <rPr>
        <sz val="11"/>
        <color theme="1"/>
        <rFont val="Arial"/>
        <family val="2"/>
      </rPr>
      <t xml:space="preserve"> De la lista desplegable seleccionar la situación que corresponda, según el origen del hallazgo.
</t>
    </r>
    <r>
      <rPr>
        <b/>
        <sz val="11"/>
        <color theme="1"/>
        <rFont val="Arial"/>
        <family val="2"/>
      </rPr>
      <t>Columna Principio Presupuestal afectado:</t>
    </r>
    <r>
      <rPr>
        <sz val="11"/>
        <color theme="1"/>
        <rFont val="Arial"/>
        <family val="2"/>
      </rPr>
      <t xml:space="preserve"> Seleccione del desplegable, el principio presupuestal afectado con el hallazgo presentado.
</t>
    </r>
    <r>
      <rPr>
        <b/>
        <sz val="11"/>
        <color theme="1"/>
        <rFont val="Arial"/>
        <family val="2"/>
      </rPr>
      <t>Columna Valor de la Incorrección o Imposibilidad:</t>
    </r>
    <r>
      <rPr>
        <sz val="11"/>
        <color theme="1"/>
        <rFont val="Arial"/>
        <family val="2"/>
      </rPr>
      <t xml:space="preserve"> En esta sección el auditor debe escribir el valor en pesos de la inconsistencia, en el evento de ser cuantificable, o que se haya cuantificado en el hallazgo.
</t>
    </r>
    <r>
      <rPr>
        <b/>
        <sz val="11"/>
        <color theme="1"/>
        <rFont val="Arial"/>
        <family val="2"/>
      </rPr>
      <t xml:space="preserve">Columna Porcentaje (% ) de hallazgo o salvedad respecto a la cuenta presupuestal: </t>
    </r>
    <r>
      <rPr>
        <sz val="11"/>
        <color theme="1"/>
        <rFont val="Arial"/>
        <family val="2"/>
      </rPr>
      <t xml:space="preserve">En esta sección el auditor debe consignar, el porcentaje del valor del hallazgo respecto del valor ejecutado de la cuenta presupuestal, cuando aplique.
</t>
    </r>
    <r>
      <rPr>
        <b/>
        <sz val="11"/>
        <color theme="1"/>
        <rFont val="Arial"/>
        <family val="2"/>
      </rPr>
      <t xml:space="preserve">Columna Resumen de la Observación o Hallazgo: </t>
    </r>
    <r>
      <rPr>
        <sz val="11"/>
        <color theme="1"/>
        <rFont val="Arial"/>
        <family val="2"/>
      </rPr>
      <t xml:space="preserve">En esta sección el auditor debe describir, una síntesis de la esencia del hallazgo.
</t>
    </r>
    <r>
      <rPr>
        <b/>
        <sz val="11"/>
        <color theme="1"/>
        <rFont val="Arial"/>
        <family val="2"/>
      </rPr>
      <t>Columna Efecto en caso de incorrección o posible efecto en caso de imposibilidad :</t>
    </r>
    <r>
      <rPr>
        <sz val="11"/>
        <color theme="1"/>
        <rFont val="Arial"/>
        <family val="2"/>
      </rPr>
      <t xml:space="preserve"> En esta sección el auditor debe escribir, el efecto o consecuencia que genera el   hallazgo.
</t>
    </r>
    <r>
      <rPr>
        <b/>
        <sz val="11"/>
        <color theme="1"/>
        <rFont val="Arial"/>
        <family val="2"/>
      </rPr>
      <t>Columna Presunta incidencia:</t>
    </r>
    <r>
      <rPr>
        <sz val="11"/>
        <color theme="1"/>
        <rFont val="Arial"/>
        <family val="2"/>
      </rPr>
      <t xml:space="preserve"> En esta sección el auditor debe seleccionar del desplegable, la(s) presuntas incidencias del hallazgo (fiscal, penal o disciplinaria).
</t>
    </r>
    <r>
      <rPr>
        <b/>
        <sz val="11"/>
        <color theme="1"/>
        <rFont val="Arial"/>
        <family val="2"/>
      </rPr>
      <t xml:space="preserve">Columna Numeral del hallazgo(s) en Informe Final: </t>
    </r>
    <r>
      <rPr>
        <sz val="11"/>
        <color theme="1"/>
        <rFont val="Arial"/>
        <family val="2"/>
      </rPr>
      <t xml:space="preserve">Registrar el numeral con el que se identifiquen los hallazgos que se determinen en la auditoría y que estén relacionados con la cuenta o rubro presupuestal auditado
</t>
    </r>
    <r>
      <rPr>
        <b/>
        <sz val="11"/>
        <color theme="1"/>
        <rFont val="Arial"/>
        <family val="2"/>
      </rPr>
      <t xml:space="preserve">Columna Referencia P/T: </t>
    </r>
    <r>
      <rPr>
        <sz val="11"/>
        <color theme="1"/>
        <rFont val="Arial"/>
        <family val="2"/>
      </rPr>
      <t xml:space="preserve">En esta sección el auditor debe escribir la referenciación del papel de trabajo donde aparezcan los detalles y el análisis del hallazgo, realizados por el auditor. 
</t>
    </r>
  </si>
  <si>
    <t>TIPOS DE CONCEPTOS, SUS PARAMETROS, CALIFICACIÓN Y CONCEPTO DEL PRINCIPIO EVALUADO</t>
  </si>
  <si>
    <t>CONCEPTOS</t>
  </si>
  <si>
    <t>INDICADORES A PARTIR DE INFORMES DE EJECUCIÓN PRESUPUESTAL PARA CONCEPTO PRESUPUESTAL</t>
  </si>
  <si>
    <t>HALLAZGOS PARA CONCEPTO PRESUPUESTAL</t>
  </si>
  <si>
    <t>Incorrección en el Informe de Ejecución de Gastos de Comercialización y Producción</t>
  </si>
  <si>
    <t>Imposibilidades en el Informe de Ejecución de Gastos  de Comercialización y Producción</t>
  </si>
  <si>
    <t>Materiales y suministros</t>
  </si>
  <si>
    <t>AUDITORIA FINANCIERA DE GESTIÓN Y RESULTADOS</t>
  </si>
  <si>
    <t>Si</t>
  </si>
  <si>
    <t>No</t>
  </si>
  <si>
    <t>Informe de Ejecución de Ingresos</t>
  </si>
  <si>
    <t>Informe de Ejecución de Gastos / Costos y Gastos</t>
  </si>
  <si>
    <t>EJECUCIÓN DE GASTOS</t>
  </si>
  <si>
    <t>No.</t>
  </si>
  <si>
    <t>O2 GASTOS</t>
  </si>
  <si>
    <t>Ejecución de Ingresos</t>
  </si>
  <si>
    <t>Ejecución de Gastos / Costos y Gastos</t>
  </si>
  <si>
    <t>Concepto consolidado Presupuestal</t>
  </si>
  <si>
    <t>Proyectos Ambientales</t>
  </si>
  <si>
    <t>Tipo de Meta</t>
  </si>
  <si>
    <t>Suma</t>
  </si>
  <si>
    <t>Constante</t>
  </si>
  <si>
    <t>Creciente</t>
  </si>
  <si>
    <t>Decreciente</t>
  </si>
  <si>
    <t>Decreciente Anual</t>
  </si>
  <si>
    <t>JUSTIFICACIÓN PARA SELECCIONAR  EL PORCENTAJE</t>
  </si>
  <si>
    <t>PDVCF:</t>
  </si>
  <si>
    <t>PDVCF</t>
  </si>
  <si>
    <t>Vigencia PDVCF:</t>
  </si>
  <si>
    <t>Periodo PDVCF:</t>
  </si>
  <si>
    <t>Instrumento para la calificación de la gestión fiscal
Procesos presupuesto de ingresos y de gastos o costos y gastos
Indicadores y hallazgos para concepto de la gestión presupuestal</t>
  </si>
  <si>
    <t>Instrumento para la calificación de la gestión fiscal
Planes y Proyectos</t>
  </si>
  <si>
    <t>Código formato: PVCGF-04-09</t>
  </si>
  <si>
    <t>Instrumento para la calificación de la gestión fiscal
Procesos presupuesto de ingresos y de gastos o costos y gastos
Prueba Analítica</t>
  </si>
  <si>
    <t>Instrumento para la calificación de la gestión fiscal
Proceso Desempeño Financiero
Análisis de Hallazgo para Concepto de Desempeño Financiero</t>
  </si>
  <si>
    <t>Instrumento para la calificación de la gestión fiscal
Materialidad Proceso Estados Financieros 
Análisis Hallazgos para Opinión</t>
  </si>
  <si>
    <t xml:space="preserve">Instrumento para la calificación de la gestión fiscal
Materialidad Proceso Estados Financieros </t>
  </si>
  <si>
    <t>Código formato
PVCGF-04-09</t>
  </si>
  <si>
    <t>Instrumento para la calificación de la gestión fiscal
Analítica Estado de Resultados - Proceso Estados Financieros 
Prueba Analítica</t>
  </si>
  <si>
    <t>Instrumento para la calificación de la gestión fiscal
Materialidad Proceso Estados Financieros 
Prueba Analítica</t>
  </si>
  <si>
    <t>Código formato:
PVCGF-04-09</t>
  </si>
  <si>
    <t>No Hay</t>
  </si>
  <si>
    <t>RESULTADOS AUDITORIA VIGENCIA ANTERIOR</t>
  </si>
  <si>
    <t>DATOS VIGENCIA AUDITORIA ACTUAL</t>
  </si>
  <si>
    <r>
      <t xml:space="preserve">Notas aclaratorias: 
</t>
    </r>
    <r>
      <rPr>
        <b/>
        <sz val="11"/>
        <color rgb="FFFF0000"/>
        <rFont val="Arial"/>
        <family val="2"/>
      </rPr>
      <t xml:space="preserve">1. En caso de que al Sujeto de Control Fiscal no se le haya practicado Auditoría Regular (AR) o Financiera Gestión y Resultados (AFGR) en el año inmediatamente anterior, se debe tomar la información de la última </t>
    </r>
    <r>
      <rPr>
        <b/>
        <u/>
        <sz val="11"/>
        <color rgb="FFFF0000"/>
        <rFont val="Arial"/>
        <family val="2"/>
      </rPr>
      <t>vigencia</t>
    </r>
    <r>
      <rPr>
        <b/>
        <sz val="11"/>
        <color rgb="FFFF0000"/>
        <rFont val="Arial"/>
        <family val="2"/>
      </rPr>
      <t xml:space="preserve"> auditada.
2. Si al Sujeto de Control nunca se le ha efectuado auditoría (AR o AFGR) alguna, entonces seleccione la frase: “</t>
    </r>
    <r>
      <rPr>
        <b/>
        <i/>
        <sz val="11"/>
        <color rgb="FFFF0000"/>
        <rFont val="Arial"/>
        <family val="2"/>
      </rPr>
      <t>No Hay</t>
    </r>
    <r>
      <rPr>
        <b/>
        <sz val="11"/>
        <color rgb="FFFF0000"/>
        <rFont val="Arial"/>
        <family val="2"/>
      </rPr>
      <t>" de la lista desplegable.</t>
    </r>
    <r>
      <rPr>
        <b/>
        <sz val="11"/>
        <rFont val="Arial"/>
        <family val="2"/>
      </rPr>
      <t xml:space="preserve">
</t>
    </r>
  </si>
  <si>
    <t>Calificación Control Interno Contable - Proceso Estados Financieros auditoría anterior</t>
  </si>
  <si>
    <t>Riesgo Residual o Combinado - Proceso Estados Financieros auditoría actual</t>
  </si>
  <si>
    <t>NIVEL 1 
Entre 1 y 7 Puntos</t>
  </si>
  <si>
    <t>AYUDAS DE ANTECEDENTES PARA SELECCIONAR UN PORCENTAJE</t>
  </si>
  <si>
    <t>CALIFICACIÓN POR PROCESO/
MACROPROCESO</t>
  </si>
  <si>
    <t>CONCEPTO  GESTIÓN GASTO PÚBLICO</t>
  </si>
  <si>
    <t>CONCEPTO PRESUPUESTAL DE GASTOS/COSTOS Y GASTOS</t>
  </si>
  <si>
    <t>CONCEPTO PRESUPUESTAL DE INGRESOS</t>
  </si>
  <si>
    <t>CONCEPTO GESTIÓN PRESUPUESTAL (CONSOLIDADA)</t>
  </si>
  <si>
    <t>CONCEPTO GESTIÓN Y RESULTADOS (CONSOLIDADA)</t>
  </si>
  <si>
    <t>TOTAL MACROPROCESO GESTIÓN PRESUPUESTAL Y RESULTADOS</t>
  </si>
  <si>
    <t>Base 100%</t>
  </si>
  <si>
    <t>Resultado</t>
  </si>
  <si>
    <t>INEXISTENTE</t>
  </si>
  <si>
    <t>0,01% - 24,99%</t>
  </si>
  <si>
    <t>INEFICIENTE</t>
  </si>
  <si>
    <t>25% - 49,99%</t>
  </si>
  <si>
    <t>50% - 74,99%</t>
  </si>
  <si>
    <t>CON DEFICIENCIAS</t>
  </si>
  <si>
    <t>75% - 100%</t>
  </si>
  <si>
    <t>EFICIENTE</t>
  </si>
  <si>
    <t>Calificacion_eficiencia</t>
  </si>
  <si>
    <t>Mínimo</t>
  </si>
  <si>
    <t>Máximo</t>
  </si>
  <si>
    <t>Cuando no existen controles</t>
  </si>
  <si>
    <t>Cuando no existe por lo menos un control</t>
  </si>
  <si>
    <t>Cuando la calificación sea mayor que 1 y menor a 2</t>
  </si>
  <si>
    <t>Cuando la calificación sea mayor que 2 y menor o igual que 2,5</t>
  </si>
  <si>
    <t>Cuando la calificación mayor que 2,5</t>
  </si>
  <si>
    <t>CONCEPTO DE EFICACIA Y EFECTIVIDAD</t>
  </si>
  <si>
    <t>MONTO TOTAL UNIDAD DE ANÁLISIS</t>
  </si>
  <si>
    <t>RIESGO DE CONTROL FISCAL DETECTADO</t>
  </si>
  <si>
    <t>TAMAÑO MÍNIMO DE LA MUESTRA</t>
  </si>
  <si>
    <t>CUMPLE LA MUESTRA</t>
  </si>
  <si>
    <t xml:space="preserve">VALOR PAGADO </t>
  </si>
  <si>
    <t>VALOR SUSCRITO</t>
  </si>
  <si>
    <t>VALOR PAGADO</t>
  </si>
  <si>
    <t>% PARTICIPACIÓN</t>
  </si>
  <si>
    <t xml:space="preserve">VALOR AUDITADO </t>
  </si>
  <si>
    <t xml:space="preserve">CUANTÍA DEL HALLAZGO FISCAL </t>
  </si>
  <si>
    <t>Fiducia 1</t>
  </si>
  <si>
    <t>Fiducia 12</t>
  </si>
  <si>
    <t>Del 01-12-2022 al 19-08-2024</t>
  </si>
  <si>
    <t>jkjdkfjkfjkdjjfkj</t>
  </si>
  <si>
    <t>kkkk</t>
  </si>
  <si>
    <t>jjj</t>
  </si>
  <si>
    <t>kkk</t>
  </si>
  <si>
    <r>
      <t xml:space="preserve">MATERIALIDAD </t>
    </r>
    <r>
      <rPr>
        <b/>
        <sz val="12"/>
        <color indexed="8"/>
        <rFont val="Arial"/>
        <family val="2"/>
      </rPr>
      <t>PARA CONCEPTO GASTO PÚBLICO</t>
    </r>
  </si>
  <si>
    <t>Instrumento para la calificación de la gestión fiscal
Proceso de Gasto Público
Pruebas Analíticas</t>
  </si>
  <si>
    <t>Instrumento para la calificación de la gestión fiscal
Proceso de Gasto Público
Materialidad</t>
  </si>
  <si>
    <t>Instrumento para la calificación de la gestión fiscal
Proceso de gasto público
Hoja de calificación</t>
  </si>
  <si>
    <t>Auditoría Financiera, de Gestión y Resultados</t>
  </si>
  <si>
    <t>O1201 Disposición de activos</t>
  </si>
  <si>
    <t>desarrollo econimo</t>
  </si>
  <si>
    <t>ipes</t>
  </si>
  <si>
    <t xml:space="preserve">ins dis turismo </t>
  </si>
  <si>
    <t>CON GASTOS</t>
  </si>
  <si>
    <t>g</t>
  </si>
  <si>
    <t>gastos</t>
  </si>
  <si>
    <t>no</t>
  </si>
  <si>
    <t>si</t>
  </si>
  <si>
    <t xml:space="preserve">Instrumento para la calificación de la gestión fiscal
Proceso Plan Estratégico </t>
  </si>
  <si>
    <t>Saldo a dic 31 del 2024</t>
  </si>
  <si>
    <t>Saldo a dic 31 del 2023</t>
  </si>
  <si>
    <t>Saldo a dic 31 2023</t>
  </si>
  <si>
    <t>Participación % En función al activo, pasivo, patrimonio, ingresos, costos y gastos s/g corresponda</t>
  </si>
  <si>
    <r>
      <rPr>
        <b/>
        <sz val="11"/>
        <color theme="1"/>
        <rFont val="Arial"/>
        <family val="2"/>
      </rPr>
      <t>Nota 3:</t>
    </r>
    <r>
      <rPr>
        <sz val="11"/>
        <color theme="1"/>
        <rFont val="Arial"/>
        <family val="2"/>
      </rPr>
      <t xml:space="preserve"> Se deberán considerar dentro de los criterios base para la selección de la muestra, los resultados de la aplicación del PVCGF-15-11 Instrumento de Riesgos y Controles.</t>
    </r>
  </si>
  <si>
    <t>&gt;80%</t>
  </si>
  <si>
    <t>&gt;40%</t>
  </si>
  <si>
    <t>Cargo: Gerente de Auditoría</t>
  </si>
  <si>
    <t>Eficiente /Adecuado</t>
  </si>
  <si>
    <t>Ineficiente /Inadecuado</t>
  </si>
  <si>
    <t>ESTADOS FINANCIEROS Sistema Integrado de Transporte Público - SITP</t>
  </si>
  <si>
    <t>Pasivos</t>
  </si>
  <si>
    <t>Patrimonio</t>
  </si>
  <si>
    <t>Gastos</t>
  </si>
  <si>
    <t>Costos y Gastos</t>
  </si>
  <si>
    <t>Total</t>
  </si>
  <si>
    <t>Ponderación Proceso</t>
  </si>
  <si>
    <t>Calificación Contable (Opinión) (%)</t>
  </si>
  <si>
    <t>Entidad</t>
  </si>
  <si>
    <t>% Ponderación calculada definitiva (Decim)</t>
  </si>
  <si>
    <t>% Ponderación calculada definitiva (%)</t>
  </si>
  <si>
    <t>Variable: Participación del total de Activos</t>
  </si>
  <si>
    <t>Ponderación MacroProceso</t>
  </si>
  <si>
    <t>% Peso Macroproceso</t>
  </si>
  <si>
    <t>Desempeño Financiero Transmilenio S.A.</t>
  </si>
  <si>
    <t>Participación (%) según el total de los Activos</t>
  </si>
  <si>
    <t>Participación (decimal) según el total de los Activos</t>
  </si>
  <si>
    <t>Calificación Contable (Opinión) (decimal)</t>
  </si>
  <si>
    <t xml:space="preserve">Valor Material en NIVEL 1 </t>
  </si>
  <si>
    <t>Valor Material en NIVEL 2</t>
  </si>
  <si>
    <t>Valor Material en NIVEL 3</t>
  </si>
  <si>
    <t>Ente Gestor (Transmilenio S.A. o FONCEP)</t>
  </si>
  <si>
    <t>ESTADOS FINANCIEROS Fondo de Pensiones Públicas de Bogotá – FPPB</t>
  </si>
  <si>
    <t>Sistema Integrado de Transporte Público -SITP o Fondo de Pensiones Públicas de Bogotá – FPPB</t>
  </si>
  <si>
    <t>ESTADOS FINANCIEROS FONCEP</t>
  </si>
  <si>
    <t>*Solo aplica para los Estados Financieros del Sistema Intregado de Transporte Público-SITP (Direción Sector Movilidad) y el Fondo de Pensiones Públicas de Bogotá – FPPB (Dirección Sector Hacienda)</t>
  </si>
  <si>
    <t>DESEMPEÑO FINANCIERO FONCEP</t>
  </si>
  <si>
    <t>DESEMPEÑO FINANCIERO Transmilenio S.A.</t>
  </si>
  <si>
    <t>ME (%)</t>
  </si>
  <si>
    <t>ESTADOS FINANCIEROS Transmilenio S.A.</t>
  </si>
  <si>
    <t>_________________________________________________________</t>
  </si>
  <si>
    <t>___________________________________________________________</t>
  </si>
  <si>
    <t>CUENTAS Y SALDOS PRESENTADOS A DICIEMBRE 31 DE _______</t>
  </si>
  <si>
    <t xml:space="preserve">Nombre: </t>
  </si>
  <si>
    <t xml:space="preserve">Cargo: </t>
  </si>
  <si>
    <t>Cargo:</t>
  </si>
  <si>
    <t xml:space="preserve">Nombre:  </t>
  </si>
  <si>
    <t>Nombre:</t>
  </si>
  <si>
    <r>
      <rPr>
        <b/>
        <sz val="11"/>
        <color theme="1"/>
        <rFont val="Arial"/>
        <family val="2"/>
      </rPr>
      <t>Nota 3:</t>
    </r>
    <r>
      <rPr>
        <sz val="11"/>
        <color theme="1"/>
        <rFont val="Arial"/>
        <family val="2"/>
      </rPr>
      <t xml:space="preserve"> Se deberan considerar dentro de los criterios base para la selección de la muestra, los resultados de la aplicación del PVCGF-15-11 Instrumento de Riesgos y Controles.</t>
    </r>
  </si>
  <si>
    <t>PLANES Y PROYECTOS / PLAN ESTRATÉGICO INSTITUCIONAL o CORPORATIVO</t>
  </si>
  <si>
    <t>CONCEPTO  PLANES Y PROYECTOS / PLAN ESTRATÉGICO INSTITUCIONAL o CORPORATIVO</t>
  </si>
  <si>
    <t>Calificacion_eficiencia SCIC</t>
  </si>
  <si>
    <t>Saldo a dic 31 del año actual</t>
  </si>
  <si>
    <t>Saldo a dic 31 del año anterior</t>
  </si>
  <si>
    <r>
      <t xml:space="preserve">Ejecución presupuestal de </t>
    </r>
    <r>
      <rPr>
        <b/>
        <u/>
        <sz val="12"/>
        <color theme="1"/>
        <rFont val="Calibri"/>
        <family val="2"/>
        <scheme val="minor"/>
      </rPr>
      <t>INGRESOS</t>
    </r>
    <r>
      <rPr>
        <b/>
        <sz val="12"/>
        <color theme="1"/>
        <rFont val="Calibri"/>
        <family val="2"/>
        <scheme val="minor"/>
      </rPr>
      <t xml:space="preserve"> (Presupuesto Inicial)</t>
    </r>
  </si>
  <si>
    <t>% Materialidad para ejecución</t>
  </si>
  <si>
    <r>
      <t xml:space="preserve">Ejecución presupuestal de </t>
    </r>
    <r>
      <rPr>
        <b/>
        <u/>
        <sz val="12"/>
        <color theme="1"/>
        <rFont val="Calibri"/>
        <family val="2"/>
        <scheme val="minor"/>
      </rPr>
      <t>GASTOS</t>
    </r>
    <r>
      <rPr>
        <b/>
        <sz val="12"/>
        <color theme="1"/>
        <rFont val="Calibri"/>
        <family val="2"/>
        <scheme val="minor"/>
      </rPr>
      <t xml:space="preserve"> </t>
    </r>
    <r>
      <rPr>
        <b/>
        <sz val="12"/>
        <color rgb="FFFF0000"/>
        <rFont val="Calibri"/>
        <family val="2"/>
        <scheme val="minor"/>
      </rPr>
      <t>y tambien aplica para las empresas de economía mixta (OPEX)</t>
    </r>
  </si>
  <si>
    <t>CALIFICACIÓN POR INDICADORES Y HALLAZGOS POR PRINCIPIO</t>
  </si>
  <si>
    <t>AUDITORÍA FINANCIERA, DE GESTIÓN Y RESULTADOS (o Financiera y de Gestión o de Regularidad) ANTERIOR</t>
  </si>
  <si>
    <r>
      <t xml:space="preserve">Ejecución presupuestal </t>
    </r>
    <r>
      <rPr>
        <b/>
        <u/>
        <sz val="12"/>
        <color theme="1"/>
        <rFont val="Calibri"/>
        <family val="2"/>
        <scheme val="minor"/>
      </rPr>
      <t xml:space="preserve">OTROS RUBROS PRESUPUESTALES </t>
    </r>
    <r>
      <rPr>
        <b/>
        <sz val="12"/>
        <color theme="1"/>
        <rFont val="Calibri"/>
        <family val="2"/>
        <scheme val="minor"/>
      </rPr>
      <t xml:space="preserve"> </t>
    </r>
    <r>
      <rPr>
        <b/>
        <sz val="12"/>
        <color rgb="FFFF0000"/>
        <rFont val="Calibri"/>
        <family val="2"/>
        <scheme val="minor"/>
      </rPr>
      <t>y tambien aplica para las empresas de economía mixta (CAPEX)</t>
    </r>
  </si>
  <si>
    <t>Calificacion Cronograma Planes y Proyectos</t>
  </si>
  <si>
    <t>Versión: 4.0</t>
  </si>
  <si>
    <t>Código formato: PVCGF-04-09
Versión: 4.0</t>
  </si>
  <si>
    <t>Código formato: PVCGF-04-09    
                                                                     Versión: 4.0</t>
  </si>
  <si>
    <t>Código formato: PVCGF-04-09     
                                                                                   Versión: 4.0</t>
  </si>
  <si>
    <t xml:space="preserve">
OPINIÓN/CONCEPTOS</t>
  </si>
  <si>
    <t>ODS</t>
  </si>
  <si>
    <t>HOJA DE CALIFICACIÓN</t>
  </si>
  <si>
    <t>ESTRUCTURA ESTRATÉGICA</t>
  </si>
  <si>
    <t>TABLA DE CALIFICACIÓN DEL PROCESO PLAN ESTRATÉGICO</t>
  </si>
  <si>
    <t>PONDERACIÓN REDISTRIBUIDA EFICACIA</t>
  </si>
  <si>
    <t>PONDERACIÓN REDISTRIBUIDA EFICIENCIA</t>
  </si>
  <si>
    <t>CONCEPTO DE RESULTADOS DE PLAN ESTRATÉGICO</t>
  </si>
  <si>
    <t>PLAN ESTRATÉGICO INSTITUCIONAL o CORPORATIVO o el que haga sus veces</t>
  </si>
  <si>
    <t>Firmas</t>
  </si>
  <si>
    <t>Nombres</t>
  </si>
  <si>
    <r>
      <rPr>
        <b/>
        <sz val="11"/>
        <color theme="1"/>
        <rFont val="Arial"/>
        <family val="2"/>
      </rPr>
      <t xml:space="preserve">Este documento se estructuró, así:
</t>
    </r>
    <r>
      <rPr>
        <sz val="11"/>
        <color theme="1"/>
        <rFont val="Arial"/>
        <family val="2"/>
      </rPr>
      <t xml:space="preserve">
Primera Sección: “UNIVERSO Y MUESTRA DEL ESTADO DE SITUACIÓN FINANCIERA Y DEL ESTADO DE RESULTADOS”.
Segunda Sección: “INCORRECCIONES E IMPOSIBILIDADES DEL ESTADO DE SITUACIÓN FINANCIERA POR CUENTAS - HALLAZGOS FORMULADOS”.
Tercera Sección: “TIPOS DE OPINIONES, SUS PARÁMETROS, CALIFICACIÓN Y CONCEPTO DEL PRINCIPIO EVALUADO” (Sección Informativa no requiere ningún diligenciamiento).
Cuarta Sección “NÚMERO DE INCORRECCIONES E IMPOSIBILIDADES EN FUNCIÓN A LA MATERIALIDAD” (Esta información se genera automáticamente con el diligenciamiento de la segunda sección, no se requiere digitar ningún dato).
Quinta Sección: “MATERIALIDAD DETERMINADA PARA EL SUJETO DE VIGILANCIA Y CONTROL FISCAL” (Esta información se genera automáticamente con el diligenciamiento de la hoja MATERIALIDA FINANCIERA para Estados Financieros, no digitar ningún dato).
Sexta Sección: “DETERMINACIÓN DE LOS TIPOS DE OPINIÓN”. (Sección Informativa no requiere digitar ningún dato).
Séptima Sección: “NIVEL DE MATERIALIDAD DE LAS IMPOSIBILIDADES Y LAS INCORRECCIONES”. (Esta información se genera automáticamente, no se requiere digitar ningún dato).
Octava Sección: “OPINIÓN OBTENIDA Y CALIFICACIÓN DEL PRINCIPIO EVALUADO”. (Esta información se genera automáticamente con el diligenciamiento de la segunda sección, no se requiere digitar ningún dato).</t>
    </r>
  </si>
  <si>
    <r>
      <rPr>
        <b/>
        <sz val="11"/>
        <color theme="1"/>
        <rFont val="Arial"/>
        <family val="2"/>
      </rPr>
      <t xml:space="preserve">Este documento se estructuró, así:
</t>
    </r>
    <r>
      <rPr>
        <sz val="11"/>
        <color theme="1"/>
        <rFont val="Arial"/>
        <family val="2"/>
      </rPr>
      <t xml:space="preserve">
Primera Sección: “UNIVERSO Y MUESTRA DEL ESTADO DE SITUACIÓN FINANCIERA Y DEL ESTADO DE RESULTADOS”.
Segunda Sección: “INCORRECCIONES E IMPOSIBILIDADES DEL ESTADO DE SITUACIÓN FINANCIERA POR CUENTAS - HALLAZGOS FORMULADOS”.
Tercera Sección: “TIPOS DE OPINIONES, SUS PARÁMETROS, CALIFICACIÓN Y CONCEPTO DEL PRINCIPIO EVALUADO” (Sección Informativa no requiere ningún diligenciamiento).
Cuarta Sección “NÚMERO DE INCORRECCIONES E IMPOSIBILIDADES EN FUNCIÓN A LA MATERIALIDAD” (Esta información se genera automáticamente con el diligenciamiento de la segunda sección, no se requiere digitar ningún dato).
Quinta Sección: “MATERIALIDAD DETERMINADA PARA EL SUJETO DE VIGILANCIA Y CONTROL FISCAL” (Esta información se genera automáticamente con el diligenciamiento de la hoja MATERIALIDAD FINANCIERA para Estados Financieros, no digitar ningún dato).
Sexta Sección: “DETERMINACIÓN DE LOS TIPOS DE OPINIÓN”. (Sección Informativa no requiere digitar ningún dato).
Séptima Sección: “NIVEL DE MATERIALIDAD DE LAS IMPOSIBILIDADES Y LAS INCORRECCIONES”. (Esta información se genera automáticamente, no se requiere digitar ningún dato).
Octava Sección: “OPINIÓN OBTENIDA Y CALIFICACIÓN DEL PRINCIPIO EVALUADO”. (Esta información se genera automáticamente con el diligenciamiento de la segunda sección, no se requiere digitar ningún dato).</t>
    </r>
  </si>
  <si>
    <t>Nota1: Deje en blanco las celdas de los indicadores no aplicables y/o no auditados</t>
  </si>
  <si>
    <t>DATOS GENERALES:  EL auditor deberá diligenciar los datos generales del sujeto de control, PDVGF y de la auditoria Financiera, de Gestión y Resultados a desarrollar, que se solicitan.</t>
  </si>
  <si>
    <t>Ejecución presupuestal de INGRESOS</t>
  </si>
  <si>
    <t>Ejecución presupuestal de GASTOS</t>
  </si>
  <si>
    <t>Valor Materalidad de Planeación MP ($)</t>
  </si>
  <si>
    <t>Valor Materalidad de Ejecución ME ($)</t>
  </si>
  <si>
    <r>
      <rPr>
        <b/>
        <sz val="11"/>
        <color rgb="FF000000"/>
        <rFont val="Arial"/>
        <family val="2"/>
      </rPr>
      <t xml:space="preserve">INDICADORES A PARTIR DE INFORMES DE EJECUCIÓN PRESUPUESTAL PARA CONCEPTO PRESUPUESTAL INSTRUCCIONES:
</t>
    </r>
    <r>
      <rPr>
        <sz val="11"/>
        <color rgb="FF000000"/>
        <rFont val="Arial"/>
        <family val="2"/>
      </rPr>
      <t>Para cada indicador según sea aplicable al Sujeto de Control auditado, registre en la columna "</t>
    </r>
    <r>
      <rPr>
        <sz val="11"/>
        <color indexed="8"/>
        <rFont val="Arial"/>
        <family val="2"/>
      </rPr>
      <t>RESULTADOS DE LA APLICACIÓN DE LA FORMULA" el resultado u operación que calcule la formula del indicador no requiere aplicar formato a la celda ya esta configurado como porcentaje, automáticamente la calificación correspondiente se reflejara en la última columna que ya se encuentra formulada de acuerdo con el indicador reportado y su interpretación correspondiente</t>
    </r>
  </si>
  <si>
    <r>
      <rPr>
        <b/>
        <sz val="11"/>
        <color rgb="FFFF0000"/>
        <rFont val="Calibri"/>
        <family val="2"/>
        <scheme val="minor"/>
      </rPr>
      <t xml:space="preserve">Notas aclaratorias: </t>
    </r>
    <r>
      <rPr>
        <b/>
        <sz val="11"/>
        <rFont val="Calibri"/>
        <family val="2"/>
        <scheme val="minor"/>
      </rPr>
      <t xml:space="preserve">
1. En caso de que al Sujeto de Control Fiscal no se le haya practicado Auditoría Regular (AR) o Financiera, de Gestión y Resultados (AFGR) en el año inmediatamente anterior, se debe tomar la información de la última vigencia auditada.
2. Si al Sujeto de Control nunca se le ha efectuado auditoría (AR o AFGR) alguna, entonces seleccione la frase: “No Hay" de la lista desplegable.
3. En lo que respecta al Concepto Auditoría y a la Calificación Control Interno auditoría anterior, así como el Diseño del Control y Riesgo Residual de la auditoría actual estos hace referencia únicamente al Proceso Presupuestal.
</t>
    </r>
  </si>
  <si>
    <t>Conceptos rubros principales</t>
  </si>
  <si>
    <t>Conceptos otros rubros presupustarios</t>
  </si>
  <si>
    <t>Materialidad de  de Ejecución</t>
  </si>
  <si>
    <r>
      <t xml:space="preserve">Nota1: </t>
    </r>
    <r>
      <rPr>
        <sz val="11"/>
        <color rgb="FFFF0000"/>
        <rFont val="Arial"/>
        <family val="2"/>
      </rPr>
      <t>Si durante la Ejecución de la Auditoría o AEF se encentran indicios que motivan a determinar una Materialidad de Ejecución, entonces proceda a seleccionar el porcentaje entre un 60% a 80% de la Materialidad de Planeación -MP cuantitativa (desde las celdas B78 a B87); es decir, en la primera fila elija un porcentaje entre este rango para las cuentas a nivel general. Sin embargo, es posible que existan saldos, transacciones u operaciones especificos en los que deban definirse niveles más bajos de Materialidad de Ejecución (ME); posteriormente dirijase a la columna H: "</t>
    </r>
    <r>
      <rPr>
        <b/>
        <sz val="11"/>
        <color rgb="FFFF0000"/>
        <rFont val="Arial"/>
        <family val="2"/>
      </rPr>
      <t>Materialidad de Ejecución</t>
    </r>
    <r>
      <rPr>
        <sz val="11"/>
        <color rgb="FFFF0000"/>
        <rFont val="Arial"/>
        <family val="2"/>
      </rPr>
      <t>" en el tipo de cada cuenta presupuestaria, rubro o aspecto presupuestal auditado seleccionando la palabra: "</t>
    </r>
    <r>
      <rPr>
        <b/>
        <sz val="11"/>
        <color rgb="FFFF0000"/>
        <rFont val="Arial"/>
        <family val="2"/>
      </rPr>
      <t>Si</t>
    </r>
    <r>
      <rPr>
        <sz val="11"/>
        <color rgb="FFFF0000"/>
        <rFont val="Arial"/>
        <family val="2"/>
      </rPr>
      <t xml:space="preserve">". Los demás cálculos son automáticos.                                                                                                                                                                                                                                                                                                                         Por el contrario, si no se presentó cambio en el porcentaje de Materialidad de Planeación entonces deje en blanco las celdas de las cuentas, rubros o aspectos presupuestales. </t>
    </r>
  </si>
  <si>
    <r>
      <t xml:space="preserve">Nota1: </t>
    </r>
    <r>
      <rPr>
        <sz val="12"/>
        <color rgb="FFFF0000"/>
        <rFont val="Arial"/>
        <family val="2"/>
      </rPr>
      <t>Seleccione de la columna "</t>
    </r>
    <r>
      <rPr>
        <b/>
        <sz val="12"/>
        <color rgb="FFFF0000"/>
        <rFont val="Arial"/>
        <family val="2"/>
      </rPr>
      <t>AFECTACIÓN DE HALLAZGOS</t>
    </r>
    <r>
      <rPr>
        <sz val="12"/>
        <color rgb="FFFF0000"/>
        <rFont val="Arial"/>
        <family val="2"/>
      </rPr>
      <t>" el tipo de hallazgo determinado en cada cuenta, rubro o aspecto presupuestal auditado o si no tuvo hallazgos, selecciones "Sin Hallazgos", deje en blanco las celdas de las respectivas cuentas, rubros o aspectos presupuestales no aplicables o no auditados</t>
    </r>
    <r>
      <rPr>
        <b/>
        <sz val="12"/>
        <color rgb="FFFF0000"/>
        <rFont val="Arial"/>
        <family val="2"/>
      </rPr>
      <t xml:space="preserve">. </t>
    </r>
    <r>
      <rPr>
        <sz val="12"/>
        <color rgb="FFFF0000"/>
        <rFont val="Arial"/>
        <family val="2"/>
      </rPr>
      <t>Los demás cálculos son automáticos</t>
    </r>
  </si>
  <si>
    <t>MATERIALIDAD CUANTITATIVA DE PLANEACIÓN (EJECUCION INGRESOS Y GASTOS)</t>
  </si>
  <si>
    <t>MATERIALIDAD DE EJECUCIÓN - ME - INGRESOS Y GASTOS (SI APLICA)</t>
  </si>
  <si>
    <t>En esta sección el auditor no deberá diligenciar ningún campo, toda vez que, ésta, se alimenta con el resultado del diligenciamiento de la segunda sección, se calcula automáticamente
La tabla de calificación y el concepto de efectividad del desempeño financiero, consolida la evaluación realizada por cada uno de los aspectos e indicadores de conformidad con los principios de eficacia y eficiencia, es pertinente verificar el contenido del numeral 7.4.8.2. Proceso desempeño financiero de la Guía de Auditoría para Bogotá D.C. Aspectos Generales, Principios y Fundamentos de la Vigilancia y Control Fiscal 3.0
Mediante la evaluación de la gestión financiera se busca medir el principio de EFICACIA y EFICIENCIA, y la combinación de estos dos principios se expresa en términos de efectividad de acuerdo a los siguientes rangos:</t>
  </si>
  <si>
    <t>Gastos de Comercialización y Producción</t>
  </si>
  <si>
    <t>Reservas Presupuestales Constituidas</t>
  </si>
  <si>
    <t>Obligaciones por Pagar</t>
  </si>
  <si>
    <t>Cuentas por Pagar</t>
  </si>
  <si>
    <t>Pasivos Exigibles</t>
  </si>
  <si>
    <t>Vigencias Futuras</t>
  </si>
  <si>
    <t>Nota1: Deje en blanco las celdas de las cuentas o rubros presupuestales no auditados
Nota 2: En el valor de las inconsistencias de la cuenta principal de Gastos no incluya el correspondiente a las otras cuentas de gastos o aspectos auditados y registrados en este cuadro</t>
  </si>
  <si>
    <t>Instrumento para la calificación de la gestión fiscal
Materialidad Presupuestal</t>
  </si>
  <si>
    <t>CONCEPTO DE RESULTADOS DE PLANES Y PROYECTOS</t>
  </si>
  <si>
    <t>EFICAZ (&gt;=75% y - =100) e INEFICAZ (&lt;75%)</t>
  </si>
  <si>
    <t>EFICIENTE (&gt;=75% y - =100) e INEFICIENTE (&lt;75%)</t>
  </si>
  <si>
    <t>PLAN ESTRATEGICO</t>
  </si>
  <si>
    <t>Caja</t>
  </si>
  <si>
    <t>Tipo</t>
  </si>
  <si>
    <t>fhf</t>
  </si>
  <si>
    <t>dfgdf</t>
  </si>
  <si>
    <t>Financiera</t>
  </si>
  <si>
    <t xml:space="preserve">Nombre del Programa </t>
  </si>
  <si>
    <t>Proyecto</t>
  </si>
  <si>
    <t xml:space="preserve">Meta producto del PDT (Meta física) </t>
  </si>
  <si>
    <t>Tipo de meta</t>
  </si>
  <si>
    <t>Proyecto Ambiental</t>
  </si>
  <si>
    <t>No. Objetivo de Desarrollo Sostenible (ODS)                   si le aplica</t>
  </si>
  <si>
    <t>CALIFICACIÓN PROCESO PLANES Y PROYECTOS</t>
  </si>
  <si>
    <t>PRINCIPIO DE LA GESTIÓN FISCAL EVALUADO:</t>
  </si>
  <si>
    <t>CALIFICACIÓN:</t>
  </si>
  <si>
    <t>CONCEPTO:</t>
  </si>
  <si>
    <t>Cumplimiento de Metas</t>
  </si>
  <si>
    <t>Meta física programada vigencia evaluada</t>
  </si>
  <si>
    <t>Meta fisica programada cumplida</t>
  </si>
  <si>
    <t>Resultado %</t>
  </si>
  <si>
    <t>Calificación POAI</t>
  </si>
  <si>
    <t>Plan Operativo Anual de Inversiones (POAI)</t>
  </si>
  <si>
    <t>Presupuesto POAI para la vigencia</t>
  </si>
  <si>
    <t>Presupuesto Disponible</t>
  </si>
  <si>
    <t>Cumplimiento Ejecución Presupuestal</t>
  </si>
  <si>
    <t>Presupuesto programado o POAI</t>
  </si>
  <si>
    <t>Presupuesto Ejecutado</t>
  </si>
  <si>
    <t>Calificación Ejecución</t>
  </si>
  <si>
    <t>Calificación Proyectos Ambientales:</t>
  </si>
  <si>
    <t>Principio:</t>
  </si>
  <si>
    <t>Calificación:</t>
  </si>
  <si>
    <t>Concepto:</t>
  </si>
  <si>
    <t>EFICACIA %:</t>
  </si>
  <si>
    <t>EFICIENCIA %:</t>
  </si>
  <si>
    <t>Proyectos Ambientales:</t>
  </si>
  <si>
    <t>POAI:</t>
  </si>
  <si>
    <t>Ejecución:</t>
  </si>
  <si>
    <t>Giros:</t>
  </si>
  <si>
    <t>Tiempos:</t>
  </si>
  <si>
    <t>Calificación Giros</t>
  </si>
  <si>
    <t>Cumplimiento Giros Ejecutados</t>
  </si>
  <si>
    <t>Giros Ejecutados</t>
  </si>
  <si>
    <t>Cumplimiento Cronograma</t>
  </si>
  <si>
    <t xml:space="preserve">Plazo de ejecución en días calendario </t>
  </si>
  <si>
    <t>Días calendario de ejecución</t>
  </si>
  <si>
    <t>Calificación %</t>
  </si>
  <si>
    <t>Calificación Tiempos</t>
  </si>
  <si>
    <t>Procesos Internos</t>
  </si>
  <si>
    <t>Innovación y aprendizaje</t>
  </si>
  <si>
    <t>Fecha de publicación formato: 01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</si>
</sst>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 #,##0;\-&quot;$&quot;\ #,##0"/>
    <numFmt numFmtId="6" formatCode="&quot;$&quot;\ #,##0;[Red]\-&quot;$&quot;\ #,##0"/>
    <numFmt numFmtId="7" formatCode="&quot;$&quot;\ #,##0.00;\-&quot;$&quot;\ #,##0.0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quot;$&quot;* #,##0.00_);_(&quot;$&quot;* \(#,##0.00\);_(&quot;$&quot;* &quot;-&quot;??_);_(@_)"/>
    <numFmt numFmtId="166" formatCode="_(* #,##0.00_);_(* \(#,##0.00\);_(* &quot;-&quot;??_);_(@_)"/>
    <numFmt numFmtId="167" formatCode="_-* #,##0_-;\-* #,##0_-;_-* &quot;-&quot;??_-;_-@_-"/>
    <numFmt numFmtId="168" formatCode="_-[$$-240A]* #,##0.00_-;\-[$$-240A]* #,##0.00_-;_-[$$-240A]* &quot;-&quot;??_-;_-@_-"/>
    <numFmt numFmtId="169" formatCode="d/mm/yyyy;@"/>
    <numFmt numFmtId="170" formatCode="0.0%"/>
    <numFmt numFmtId="171" formatCode="&quot;$&quot;#,##0.00"/>
    <numFmt numFmtId="172" formatCode="0.000%"/>
    <numFmt numFmtId="173" formatCode="0.0"/>
    <numFmt numFmtId="174" formatCode="_(&quot;$&quot;* #,##0_);_(&quot;$&quot;* \(#,##0\);_(&quot;$&quot;* &quot;-&quot;??_);_(@_)"/>
    <numFmt numFmtId="175" formatCode="_-&quot;$&quot;* #,##0_-;\-&quot;$&quot;* #,##0_-;_-&quot;$&quot;* &quot;-&quot;??_-;_-@_-"/>
    <numFmt numFmtId="176" formatCode="&quot;$&quot;#,##0"/>
    <numFmt numFmtId="177" formatCode="_-&quot;$&quot;\ * #,##0_-;\-&quot;$&quot;\ * #,##0_-;_-&quot;$&quot;\ * &quot;-&quot;??_-;_-@_-"/>
    <numFmt numFmtId="178" formatCode="_(&quot;$&quot;\ * #,##0.00_);_(&quot;$&quot;\ * \(#,##0.00\);_(&quot;$&quot;\ * &quot;-&quot;??_);_(@_)"/>
    <numFmt numFmtId="179" formatCode="0;\-0;;@"/>
    <numFmt numFmtId="180" formatCode="_-* #,##0.0_-;\-* #,##0.0_-;_-* &quot;-&quot;??_-;_-@_-"/>
    <numFmt numFmtId="181" formatCode="#,##0.0"/>
    <numFmt numFmtId="182" formatCode="_(* #,##0_);_(* \(#,##0\);_(* &quot;-&quot;??_);_(@_)"/>
    <numFmt numFmtId="183" formatCode="_-* #,##0.00_-;\-* #,##0.00_-;_-* &quot;-&quot;_-;_-@_-"/>
    <numFmt numFmtId="184" formatCode="0;[Red]0"/>
  </numFmts>
  <fonts count="19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rgb="FF9C0006"/>
      <name val="Calibri"/>
      <family val="2"/>
      <scheme val="minor"/>
    </font>
    <font>
      <sz val="11"/>
      <color indexed="8"/>
      <name val="Calibri"/>
      <family val="2"/>
    </font>
    <font>
      <sz val="10"/>
      <name val="Arial"/>
      <family val="2"/>
    </font>
    <font>
      <b/>
      <sz val="12"/>
      <name val="Arial"/>
      <family val="2"/>
    </font>
    <font>
      <b/>
      <sz val="14"/>
      <name val="Arial"/>
      <family val="2"/>
    </font>
    <font>
      <b/>
      <sz val="9"/>
      <name val="Arial"/>
      <family val="2"/>
    </font>
    <font>
      <sz val="12"/>
      <name val="Arial"/>
      <family val="2"/>
    </font>
    <font>
      <sz val="11"/>
      <color theme="1"/>
      <name val="Arial"/>
      <family val="2"/>
    </font>
    <font>
      <b/>
      <sz val="9"/>
      <color indexed="81"/>
      <name val="Tahoma"/>
      <family val="2"/>
    </font>
    <font>
      <sz val="9"/>
      <color indexed="81"/>
      <name val="Tahoma"/>
      <family val="2"/>
    </font>
    <font>
      <b/>
      <sz val="18"/>
      <name val="Arial"/>
      <family val="2"/>
    </font>
    <font>
      <sz val="11"/>
      <color theme="0"/>
      <name val="Calibri"/>
      <family val="2"/>
      <scheme val="minor"/>
    </font>
    <font>
      <b/>
      <sz val="12"/>
      <color theme="1"/>
      <name val="Arial"/>
      <family val="2"/>
    </font>
    <font>
      <sz val="12"/>
      <color theme="1"/>
      <name val="Arial"/>
      <family val="2"/>
    </font>
    <font>
      <sz val="14"/>
      <color theme="1"/>
      <name val="Arial"/>
      <family val="2"/>
    </font>
    <font>
      <b/>
      <sz val="14"/>
      <color theme="1"/>
      <name val="Arial"/>
      <family val="2"/>
    </font>
    <font>
      <b/>
      <sz val="12"/>
      <color theme="0"/>
      <name val="Arial"/>
      <family val="2"/>
    </font>
    <font>
      <b/>
      <sz val="18"/>
      <color theme="1"/>
      <name val="Arial"/>
      <family val="2"/>
    </font>
    <font>
      <b/>
      <sz val="11"/>
      <color theme="1"/>
      <name val="Arial"/>
      <family val="2"/>
    </font>
    <font>
      <u/>
      <sz val="11"/>
      <color theme="10"/>
      <name val="Calibri"/>
      <family val="2"/>
      <scheme val="minor"/>
    </font>
    <font>
      <sz val="11"/>
      <name val="Arial"/>
      <family val="2"/>
    </font>
    <font>
      <b/>
      <sz val="11"/>
      <name val="Arial"/>
      <family val="2"/>
    </font>
    <font>
      <b/>
      <sz val="14"/>
      <color indexed="8"/>
      <name val="Arial"/>
      <family val="2"/>
    </font>
    <font>
      <b/>
      <sz val="10"/>
      <color rgb="FF000000"/>
      <name val="Arial"/>
      <family val="2"/>
    </font>
    <font>
      <b/>
      <sz val="9"/>
      <color rgb="FF000000"/>
      <name val="Arial"/>
      <family val="2"/>
    </font>
    <font>
      <sz val="9"/>
      <color rgb="FF000000"/>
      <name val="Arial"/>
      <family val="2"/>
    </font>
    <font>
      <sz val="10"/>
      <color rgb="FF000000"/>
      <name val="Arial"/>
      <family val="2"/>
    </font>
    <font>
      <sz val="8"/>
      <color rgb="FF000000"/>
      <name val="Segoe UI"/>
      <family val="2"/>
    </font>
    <font>
      <b/>
      <sz val="10"/>
      <color theme="1"/>
      <name val="Arial"/>
      <family val="2"/>
    </font>
    <font>
      <sz val="9"/>
      <color theme="1"/>
      <name val="Arial"/>
      <family val="2"/>
    </font>
    <font>
      <b/>
      <sz val="11"/>
      <color rgb="FF000000"/>
      <name val="Arial"/>
      <family val="2"/>
    </font>
    <font>
      <b/>
      <sz val="11"/>
      <color theme="1" tint="0.249977111117893"/>
      <name val="Arial"/>
      <family val="2"/>
    </font>
    <font>
      <b/>
      <u/>
      <sz val="11"/>
      <color theme="1"/>
      <name val="Arial"/>
      <family val="2"/>
    </font>
    <font>
      <sz val="11"/>
      <color rgb="FF000000"/>
      <name val="Arial"/>
      <family val="2"/>
    </font>
    <font>
      <sz val="11"/>
      <color theme="0"/>
      <name val="Arial"/>
      <family val="2"/>
    </font>
    <font>
      <sz val="11"/>
      <color theme="0" tint="-0.14999847407452621"/>
      <name val="Arial"/>
      <family val="2"/>
    </font>
    <font>
      <b/>
      <sz val="16"/>
      <name val="Arial"/>
      <family val="2"/>
    </font>
    <font>
      <sz val="9"/>
      <color theme="1" tint="0.14999847407452621"/>
      <name val="Arial"/>
      <family val="2"/>
    </font>
    <font>
      <b/>
      <sz val="9"/>
      <color theme="1"/>
      <name val="Arial"/>
      <family val="2"/>
    </font>
    <font>
      <b/>
      <sz val="22"/>
      <name val="Arial"/>
      <family val="2"/>
    </font>
    <font>
      <sz val="10"/>
      <color theme="1"/>
      <name val="Arial"/>
      <family val="2"/>
    </font>
    <font>
      <b/>
      <sz val="26"/>
      <name val="Arial"/>
      <family val="2"/>
    </font>
    <font>
      <sz val="14"/>
      <name val="Arial"/>
      <family val="2"/>
    </font>
    <font>
      <sz val="8"/>
      <name val="Arial"/>
      <family val="2"/>
    </font>
    <font>
      <b/>
      <sz val="11"/>
      <color theme="0"/>
      <name val="Arial"/>
      <family val="2"/>
    </font>
    <font>
      <sz val="10"/>
      <color theme="0"/>
      <name val="Arial"/>
      <family val="2"/>
    </font>
    <font>
      <sz val="10"/>
      <color indexed="8"/>
      <name val="Arial"/>
      <family val="2"/>
    </font>
    <font>
      <sz val="10"/>
      <color rgb="FFFF0000"/>
      <name val="Arial"/>
      <family val="2"/>
    </font>
    <font>
      <b/>
      <sz val="11"/>
      <color theme="0" tint="-4.9989318521683403E-2"/>
      <name val="Arial"/>
      <family val="2"/>
    </font>
    <font>
      <sz val="11"/>
      <color theme="0" tint="-0.499984740745262"/>
      <name val="Arial"/>
      <family val="2"/>
    </font>
    <font>
      <sz val="11"/>
      <color rgb="FF9C6500"/>
      <name val="Calibri"/>
      <family val="2"/>
      <scheme val="minor"/>
    </font>
    <font>
      <b/>
      <sz val="11"/>
      <color theme="0"/>
      <name val="Calibri"/>
      <family val="2"/>
      <scheme val="minor"/>
    </font>
    <font>
      <b/>
      <sz val="11"/>
      <color theme="1"/>
      <name val="Calibri"/>
      <family val="2"/>
      <scheme val="minor"/>
    </font>
    <font>
      <sz val="12"/>
      <color rgb="FFFF0000"/>
      <name val="Arial"/>
      <family val="2"/>
    </font>
    <font>
      <b/>
      <sz val="11"/>
      <name val="Calibri"/>
      <family val="2"/>
    </font>
    <font>
      <sz val="10"/>
      <color theme="1"/>
      <name val="Calibri"/>
      <family val="2"/>
      <scheme val="minor"/>
    </font>
    <font>
      <sz val="11"/>
      <color rgb="FFFF0000"/>
      <name val="Arial"/>
      <family val="2"/>
    </font>
    <font>
      <sz val="11"/>
      <name val="Calibri"/>
      <family val="2"/>
    </font>
    <font>
      <b/>
      <sz val="10"/>
      <color indexed="8"/>
      <name val="Arial"/>
      <family val="2"/>
    </font>
    <font>
      <sz val="16"/>
      <color theme="1"/>
      <name val="Calibri"/>
      <family val="2"/>
      <scheme val="minor"/>
    </font>
    <font>
      <b/>
      <sz val="9"/>
      <color rgb="FF000000"/>
      <name val="Tahoma"/>
      <family val="2"/>
    </font>
    <font>
      <sz val="9"/>
      <color rgb="FF000000"/>
      <name val="Tahoma"/>
      <family val="2"/>
    </font>
    <font>
      <sz val="8"/>
      <color theme="1"/>
      <name val="Arial"/>
      <family val="2"/>
    </font>
    <font>
      <sz val="6"/>
      <color rgb="FF000000"/>
      <name val="Arial"/>
      <family val="2"/>
    </font>
    <font>
      <sz val="11"/>
      <name val="Calibri"/>
      <family val="2"/>
      <scheme val="minor"/>
    </font>
    <font>
      <b/>
      <sz val="12"/>
      <name val="Calibri"/>
      <family val="2"/>
      <scheme val="minor"/>
    </font>
    <font>
      <b/>
      <sz val="12"/>
      <color indexed="8"/>
      <name val="Arial"/>
      <family val="2"/>
    </font>
    <font>
      <b/>
      <sz val="10"/>
      <name val="Arial"/>
      <family val="2"/>
    </font>
    <font>
      <u/>
      <sz val="10"/>
      <color theme="1"/>
      <name val="Arial"/>
      <family val="2"/>
    </font>
    <font>
      <b/>
      <u/>
      <sz val="10"/>
      <color theme="1"/>
      <name val="Arial"/>
      <family val="2"/>
    </font>
    <font>
      <b/>
      <sz val="12"/>
      <color theme="1"/>
      <name val="Calibri"/>
      <family val="2"/>
      <scheme val="minor"/>
    </font>
    <font>
      <sz val="12"/>
      <color rgb="FF000000"/>
      <name val="Calibri"/>
      <family val="2"/>
      <scheme val="minor"/>
    </font>
    <font>
      <b/>
      <sz val="9"/>
      <color rgb="FF000000"/>
      <name val="Calibri"/>
      <family val="2"/>
      <scheme val="minor"/>
    </font>
    <font>
      <b/>
      <sz val="14"/>
      <color theme="1"/>
      <name val="Calibri"/>
      <family val="2"/>
      <scheme val="minor"/>
    </font>
    <font>
      <b/>
      <sz val="18"/>
      <color theme="1"/>
      <name val="Calibri"/>
      <family val="2"/>
      <scheme val="minor"/>
    </font>
    <font>
      <b/>
      <sz val="9"/>
      <color theme="0"/>
      <name val="Calibri"/>
      <family val="2"/>
      <scheme val="minor"/>
    </font>
    <font>
      <b/>
      <sz val="10"/>
      <color theme="1"/>
      <name val="Calibri"/>
      <family val="2"/>
      <scheme val="minor"/>
    </font>
    <font>
      <b/>
      <sz val="12"/>
      <color indexed="8"/>
      <name val="Calibri"/>
      <family val="2"/>
      <scheme val="minor"/>
    </font>
    <font>
      <sz val="9"/>
      <color theme="0" tint="-0.34998626667073579"/>
      <name val="Calibri"/>
      <family val="2"/>
      <scheme val="minor"/>
    </font>
    <font>
      <b/>
      <sz val="9"/>
      <name val="Calibri"/>
      <family val="2"/>
      <scheme val="minor"/>
    </font>
    <font>
      <b/>
      <sz val="9"/>
      <color theme="1"/>
      <name val="Calibri"/>
      <family val="2"/>
      <scheme val="minor"/>
    </font>
    <font>
      <sz val="9"/>
      <color theme="1"/>
      <name val="Calibri"/>
      <family val="2"/>
      <scheme val="minor"/>
    </font>
    <font>
      <b/>
      <sz val="8"/>
      <name val="Calibri"/>
      <family val="2"/>
      <scheme val="minor"/>
    </font>
    <font>
      <b/>
      <u/>
      <sz val="10"/>
      <color theme="1"/>
      <name val="Calibri"/>
      <family val="2"/>
      <scheme val="minor"/>
    </font>
    <font>
      <b/>
      <sz val="10"/>
      <name val="Calibri"/>
      <family val="2"/>
      <scheme val="minor"/>
    </font>
    <font>
      <b/>
      <u/>
      <sz val="11"/>
      <color theme="1"/>
      <name val="Calibri"/>
      <family val="2"/>
      <scheme val="minor"/>
    </font>
    <font>
      <b/>
      <sz val="11"/>
      <color rgb="FFFF0000"/>
      <name val="Calibri"/>
      <family val="2"/>
      <scheme val="minor"/>
    </font>
    <font>
      <sz val="11"/>
      <color rgb="FF000000"/>
      <name val="Calibri"/>
      <family val="2"/>
      <scheme val="minor"/>
    </font>
    <font>
      <u/>
      <sz val="11"/>
      <color theme="1"/>
      <name val="Calibri"/>
      <family val="2"/>
      <scheme val="minor"/>
    </font>
    <font>
      <sz val="11"/>
      <color indexed="8"/>
      <name val="Calibri"/>
      <family val="2"/>
      <scheme val="minor"/>
    </font>
    <font>
      <u/>
      <sz val="11"/>
      <color indexed="8"/>
      <name val="Calibri"/>
      <family val="2"/>
      <scheme val="minor"/>
    </font>
    <font>
      <b/>
      <sz val="7"/>
      <color theme="1"/>
      <name val="Calibri"/>
      <family val="2"/>
      <scheme val="minor"/>
    </font>
    <font>
      <sz val="11"/>
      <color indexed="81"/>
      <name val="Tahoma"/>
      <family val="2"/>
    </font>
    <font>
      <b/>
      <sz val="11"/>
      <name val="Calibri"/>
      <family val="2"/>
      <scheme val="minor"/>
    </font>
    <font>
      <b/>
      <sz val="8"/>
      <color rgb="FF000000"/>
      <name val="Tahoma"/>
      <family val="2"/>
    </font>
    <font>
      <b/>
      <sz val="8"/>
      <color indexed="81"/>
      <name val="Tahoma"/>
      <family val="2"/>
    </font>
    <font>
      <sz val="8"/>
      <color indexed="81"/>
      <name val="Tahoma"/>
      <family val="2"/>
    </font>
    <font>
      <b/>
      <sz val="10"/>
      <color indexed="81"/>
      <name val="Tahoma"/>
      <family val="2"/>
    </font>
    <font>
      <sz val="10"/>
      <color rgb="FF000000"/>
      <name val="Tahoma"/>
      <family val="2"/>
    </font>
    <font>
      <sz val="10"/>
      <color indexed="81"/>
      <name val="Tahoma"/>
      <family val="2"/>
    </font>
    <font>
      <b/>
      <sz val="10"/>
      <color rgb="FF000000"/>
      <name val="Tahoma"/>
      <family val="2"/>
    </font>
    <font>
      <b/>
      <sz val="11"/>
      <color indexed="8"/>
      <name val="Arial"/>
      <family val="2"/>
    </font>
    <font>
      <sz val="11"/>
      <color theme="0" tint="-0.34998626667073579"/>
      <name val="Arial"/>
      <family val="2"/>
    </font>
    <font>
      <b/>
      <sz val="18"/>
      <color indexed="8"/>
      <name val="Arial"/>
      <family val="2"/>
    </font>
    <font>
      <i/>
      <sz val="12"/>
      <name val="Arial"/>
      <family val="2"/>
    </font>
    <font>
      <b/>
      <u/>
      <sz val="12"/>
      <color indexed="62"/>
      <name val="Arial"/>
      <family val="2"/>
    </font>
    <font>
      <b/>
      <sz val="11"/>
      <color rgb="FFFF0000"/>
      <name val="Arial"/>
      <family val="2"/>
    </font>
    <font>
      <sz val="11"/>
      <color indexed="8"/>
      <name val="Arial"/>
      <family val="2"/>
    </font>
    <font>
      <u/>
      <sz val="11"/>
      <color indexed="12"/>
      <name val="Arial"/>
      <family val="2"/>
    </font>
    <font>
      <u/>
      <sz val="12"/>
      <color indexed="12"/>
      <name val="Arial"/>
      <family val="2"/>
    </font>
    <font>
      <u/>
      <sz val="11"/>
      <color indexed="10"/>
      <name val="Arial"/>
      <family val="2"/>
    </font>
    <font>
      <b/>
      <u/>
      <sz val="11"/>
      <color indexed="62"/>
      <name val="Arial"/>
      <family val="2"/>
    </font>
    <font>
      <sz val="11"/>
      <color indexed="12"/>
      <name val="Arial"/>
      <family val="2"/>
    </font>
    <font>
      <b/>
      <i/>
      <sz val="16"/>
      <name val="Arial"/>
      <family val="2"/>
    </font>
    <font>
      <sz val="9"/>
      <name val="Arial"/>
      <family val="2"/>
    </font>
    <font>
      <sz val="9"/>
      <color indexed="8"/>
      <name val="Arial"/>
      <family val="2"/>
    </font>
    <font>
      <sz val="12"/>
      <color rgb="FF000000"/>
      <name val="Arial"/>
      <family val="2"/>
    </font>
    <font>
      <b/>
      <u/>
      <sz val="12"/>
      <color theme="1"/>
      <name val="Arial"/>
      <family val="2"/>
    </font>
    <font>
      <b/>
      <sz val="9"/>
      <color indexed="8"/>
      <name val="Arial"/>
      <family val="2"/>
    </font>
    <font>
      <sz val="14"/>
      <color indexed="8"/>
      <name val="Arial"/>
      <family val="2"/>
    </font>
    <font>
      <b/>
      <u/>
      <sz val="14"/>
      <color indexed="8"/>
      <name val="Arial"/>
      <family val="2"/>
    </font>
    <font>
      <u/>
      <sz val="14"/>
      <color indexed="8"/>
      <name val="Arial"/>
      <family val="2"/>
    </font>
    <font>
      <b/>
      <sz val="8"/>
      <color rgb="FF000000"/>
      <name val="Arial"/>
      <family val="2"/>
    </font>
    <font>
      <sz val="12"/>
      <color indexed="8"/>
      <name val="Arial"/>
      <family val="2"/>
    </font>
    <font>
      <b/>
      <sz val="16"/>
      <color indexed="8"/>
      <name val="Arial"/>
      <family val="2"/>
    </font>
    <font>
      <b/>
      <i/>
      <sz val="16"/>
      <color rgb="FF000000"/>
      <name val="Arial"/>
      <family val="2"/>
    </font>
    <font>
      <b/>
      <i/>
      <sz val="14"/>
      <color rgb="FF000000"/>
      <name val="Arial"/>
      <family val="2"/>
    </font>
    <font>
      <b/>
      <sz val="18"/>
      <color theme="3"/>
      <name val="Arial"/>
      <family val="2"/>
    </font>
    <font>
      <b/>
      <sz val="16"/>
      <color theme="1"/>
      <name val="Arial"/>
      <family val="2"/>
    </font>
    <font>
      <b/>
      <i/>
      <sz val="16"/>
      <color theme="1"/>
      <name val="Arial"/>
      <family val="2"/>
    </font>
    <font>
      <b/>
      <sz val="22"/>
      <color indexed="8"/>
      <name val="Arial"/>
      <family val="2"/>
    </font>
    <font>
      <b/>
      <sz val="22"/>
      <color rgb="FFFF0000"/>
      <name val="Arial"/>
      <family val="2"/>
    </font>
    <font>
      <b/>
      <i/>
      <sz val="14"/>
      <name val="Arial"/>
      <family val="2"/>
    </font>
    <font>
      <sz val="12"/>
      <color indexed="63"/>
      <name val="Arial"/>
      <family val="2"/>
    </font>
    <font>
      <sz val="14"/>
      <color indexed="63"/>
      <name val="Arial"/>
      <family val="2"/>
    </font>
    <font>
      <sz val="14"/>
      <name val="Calibri"/>
      <family val="2"/>
      <scheme val="minor"/>
    </font>
    <font>
      <sz val="11"/>
      <color rgb="FF9C5700"/>
      <name val="Calibri"/>
      <family val="2"/>
      <scheme val="minor"/>
    </font>
    <font>
      <b/>
      <sz val="14"/>
      <color indexed="63"/>
      <name val="Arial"/>
      <family val="2"/>
    </font>
    <font>
      <sz val="18"/>
      <color theme="1"/>
      <name val="Calibri"/>
      <family val="2"/>
      <scheme val="minor"/>
    </font>
    <font>
      <b/>
      <sz val="12"/>
      <color indexed="8"/>
      <name val="Calibri"/>
      <family val="2"/>
    </font>
    <font>
      <b/>
      <sz val="16"/>
      <name val="Calibri"/>
      <family val="2"/>
    </font>
    <font>
      <i/>
      <sz val="10"/>
      <color indexed="8"/>
      <name val="Arial"/>
      <family val="2"/>
    </font>
    <font>
      <i/>
      <sz val="10"/>
      <name val="Arial"/>
      <family val="2"/>
    </font>
    <font>
      <i/>
      <sz val="11"/>
      <name val="Arial"/>
      <family val="2"/>
    </font>
    <font>
      <sz val="11"/>
      <color theme="1"/>
      <name val="Symbol"/>
      <family val="1"/>
      <charset val="2"/>
    </font>
    <font>
      <sz val="7"/>
      <color theme="1"/>
      <name val="Times New Roman"/>
      <family val="1"/>
    </font>
    <font>
      <sz val="11"/>
      <color rgb="FF000000"/>
      <name val="Symbol"/>
      <family val="1"/>
      <charset val="2"/>
    </font>
    <font>
      <b/>
      <sz val="22"/>
      <color theme="1"/>
      <name val="Arial"/>
      <family val="2"/>
    </font>
    <font>
      <b/>
      <u/>
      <sz val="14"/>
      <color theme="0"/>
      <name val="Arial"/>
      <family val="2"/>
    </font>
    <font>
      <b/>
      <u/>
      <sz val="18"/>
      <color theme="0"/>
      <name val="Arial"/>
      <family val="2"/>
    </font>
    <font>
      <b/>
      <sz val="14"/>
      <color theme="0"/>
      <name val="Arial"/>
      <family val="2"/>
    </font>
    <font>
      <b/>
      <sz val="16"/>
      <color theme="0" tint="-4.9989318521683403E-2"/>
      <name val="Arial"/>
      <family val="2"/>
    </font>
    <font>
      <b/>
      <sz val="12"/>
      <color theme="0" tint="-4.9989318521683403E-2"/>
      <name val="Arial"/>
      <family val="2"/>
    </font>
    <font>
      <b/>
      <sz val="14"/>
      <color theme="0" tint="-4.9989318521683403E-2"/>
      <name val="Arial"/>
      <family val="2"/>
    </font>
    <font>
      <b/>
      <sz val="16"/>
      <color theme="1"/>
      <name val="Calibri"/>
      <family val="2"/>
      <scheme val="minor"/>
    </font>
    <font>
      <sz val="16"/>
      <color theme="1"/>
      <name val="Arial"/>
      <family val="2"/>
    </font>
    <font>
      <sz val="16"/>
      <color indexed="8"/>
      <name val="Arial"/>
      <family val="2"/>
    </font>
    <font>
      <sz val="10"/>
      <color rgb="FF000000"/>
      <name val="Calibri"/>
      <family val="2"/>
    </font>
    <font>
      <sz val="12"/>
      <color rgb="FF006100"/>
      <name val="Arial"/>
      <family val="2"/>
    </font>
    <font>
      <b/>
      <sz val="11"/>
      <color rgb="FF000000"/>
      <name val="Calibri"/>
      <family val="2"/>
      <scheme val="minor"/>
    </font>
    <font>
      <sz val="11"/>
      <color rgb="FF006100"/>
      <name val="Arial"/>
      <family val="2"/>
    </font>
    <font>
      <sz val="11"/>
      <color rgb="FF9C0006"/>
      <name val="Arial"/>
      <family val="2"/>
    </font>
    <font>
      <sz val="11"/>
      <color rgb="FF9C6500"/>
      <name val="Arial"/>
      <family val="2"/>
    </font>
    <font>
      <b/>
      <sz val="17"/>
      <name val="Arial"/>
      <family val="2"/>
    </font>
    <font>
      <b/>
      <u/>
      <sz val="12"/>
      <color theme="1"/>
      <name val="Calibri"/>
      <family val="2"/>
      <scheme val="minor"/>
    </font>
    <font>
      <sz val="11"/>
      <color rgb="FFFF0000"/>
      <name val="Calibri"/>
      <family val="2"/>
      <scheme val="minor"/>
    </font>
    <font>
      <b/>
      <sz val="12"/>
      <color rgb="FFFF0000"/>
      <name val="Calibri"/>
      <family val="2"/>
      <scheme val="minor"/>
    </font>
    <font>
      <b/>
      <sz val="10"/>
      <color rgb="FFFF0000"/>
      <name val="Calibri"/>
      <family val="2"/>
      <scheme val="minor"/>
    </font>
    <font>
      <sz val="9"/>
      <color rgb="FFFF0000"/>
      <name val="Calibri"/>
      <family val="2"/>
      <scheme val="minor"/>
    </font>
    <font>
      <b/>
      <sz val="9"/>
      <color rgb="FFFF0000"/>
      <name val="Calibri"/>
      <family val="2"/>
      <scheme val="minor"/>
    </font>
    <font>
      <b/>
      <u/>
      <sz val="11"/>
      <color rgb="FFFF0000"/>
      <name val="Calibri"/>
      <family val="2"/>
      <scheme val="minor"/>
    </font>
    <font>
      <b/>
      <u/>
      <sz val="11"/>
      <color rgb="FFFF0000"/>
      <name val="Arial"/>
      <family val="2"/>
    </font>
    <font>
      <b/>
      <i/>
      <sz val="11"/>
      <color rgb="FFFF0000"/>
      <name val="Arial"/>
      <family val="2"/>
    </font>
    <font>
      <sz val="10"/>
      <name val="Calibri"/>
      <family val="2"/>
      <scheme val="minor"/>
    </font>
    <font>
      <b/>
      <sz val="20"/>
      <name val="Arial"/>
      <family val="2"/>
    </font>
    <font>
      <sz val="8"/>
      <color rgb="FF000000"/>
      <name val="Arial"/>
      <family val="2"/>
    </font>
    <font>
      <sz val="14"/>
      <color theme="1"/>
      <name val="Calibri"/>
      <family val="2"/>
      <scheme val="minor"/>
    </font>
    <font>
      <b/>
      <sz val="8"/>
      <name val="Arial"/>
      <family val="2"/>
    </font>
    <font>
      <b/>
      <sz val="7"/>
      <name val="Arial"/>
      <family val="2"/>
    </font>
    <font>
      <b/>
      <sz val="10"/>
      <color rgb="FFFF0000"/>
      <name val="Arial"/>
      <family val="2"/>
    </font>
    <font>
      <b/>
      <u/>
      <sz val="11"/>
      <name val="Arial"/>
      <family val="2"/>
    </font>
    <font>
      <b/>
      <u/>
      <sz val="16"/>
      <name val="Arial"/>
      <family val="2"/>
    </font>
    <font>
      <b/>
      <sz val="12"/>
      <color rgb="FFFF0000"/>
      <name val="Arial"/>
      <family val="2"/>
    </font>
    <font>
      <b/>
      <sz val="12"/>
      <color theme="0"/>
      <name val="Calibri"/>
      <family val="2"/>
      <scheme val="minor"/>
    </font>
    <font>
      <sz val="11"/>
      <color rgb="FF000000"/>
      <name val="Calibri"/>
      <family val="2"/>
    </font>
    <font>
      <b/>
      <sz val="12"/>
      <color rgb="FFFFFF00"/>
      <name val="Arial"/>
      <family val="2"/>
    </font>
    <font>
      <b/>
      <sz val="8"/>
      <color theme="1"/>
      <name val="Arial"/>
      <family val="2"/>
    </font>
    <font>
      <b/>
      <sz val="16"/>
      <color rgb="FFFF0000"/>
      <name val="Calibri"/>
      <family val="2"/>
      <scheme val="minor"/>
    </font>
  </fonts>
  <fills count="73">
    <fill>
      <patternFill patternType="none"/>
    </fill>
    <fill>
      <patternFill patternType="gray125"/>
    </fill>
    <fill>
      <patternFill patternType="solid">
        <fgColor rgb="FFFFC7CE"/>
      </patternFill>
    </fill>
    <fill>
      <patternFill patternType="solid">
        <fgColor indexed="26"/>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4" tint="0.39997558519241921"/>
        <bgColor indexed="64"/>
      </patternFill>
    </fill>
    <fill>
      <patternFill patternType="solid">
        <fgColor rgb="FF00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D6DCE4"/>
        <bgColor indexed="64"/>
      </patternFill>
    </fill>
    <fill>
      <patternFill patternType="solid">
        <fgColor rgb="FFDDEBF7"/>
        <bgColor indexed="64"/>
      </patternFill>
    </fill>
    <fill>
      <patternFill patternType="solid">
        <fgColor rgb="FFFCE4D6"/>
        <bgColor indexed="64"/>
      </patternFill>
    </fill>
    <fill>
      <patternFill patternType="solid">
        <fgColor rgb="FFFFFF00"/>
        <bgColor indexed="64"/>
      </patternFill>
    </fill>
    <fill>
      <patternFill patternType="solid">
        <fgColor rgb="FFFF0000"/>
        <bgColor indexed="64"/>
      </patternFill>
    </fill>
    <fill>
      <patternFill patternType="solid">
        <fgColor theme="4"/>
      </patternFill>
    </fill>
    <fill>
      <patternFill patternType="solid">
        <fgColor theme="5"/>
      </patternFill>
    </fill>
    <fill>
      <patternFill patternType="solid">
        <fgColor theme="8" tint="0.39997558519241921"/>
        <bgColor indexed="64"/>
      </patternFill>
    </fill>
    <fill>
      <patternFill patternType="solid">
        <fgColor theme="4" tint="0.59999389629810485"/>
        <bgColor indexed="64"/>
      </patternFill>
    </fill>
    <fill>
      <patternFill patternType="solid">
        <fgColor rgb="FFD6BBEB"/>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92D050"/>
        <bgColor indexed="64"/>
      </patternFill>
    </fill>
    <fill>
      <patternFill patternType="solid">
        <fgColor theme="7" tint="0.79998168889431442"/>
        <bgColor theme="4" tint="0.79998168889431442"/>
      </patternFill>
    </fill>
    <fill>
      <patternFill patternType="solid">
        <fgColor theme="7" tint="0.79998168889431442"/>
        <bgColor theme="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EB9C"/>
      </patternFill>
    </fill>
    <fill>
      <patternFill patternType="solid">
        <fgColor rgb="FFFFFFCC"/>
      </patternFill>
    </fill>
    <fill>
      <patternFill patternType="solid">
        <fgColor theme="5" tint="0.59999389629810485"/>
        <bgColor indexed="65"/>
      </patternFill>
    </fill>
    <fill>
      <patternFill patternType="solid">
        <fgColor theme="6" tint="0.39997558519241921"/>
        <bgColor indexed="65"/>
      </patternFill>
    </fill>
    <fill>
      <patternFill patternType="solid">
        <fgColor theme="7" tint="0.59999389629810485"/>
        <bgColor indexed="65"/>
      </patternFill>
    </fill>
    <fill>
      <patternFill patternType="solid">
        <fgColor theme="9"/>
        <bgColor indexed="64"/>
      </patternFill>
    </fill>
    <fill>
      <patternFill patternType="solid">
        <fgColor theme="5" tint="-0.249977111117893"/>
        <bgColor indexed="64"/>
      </patternFill>
    </fill>
    <fill>
      <patternFill patternType="solid">
        <fgColor rgb="FF00B0F0"/>
        <bgColor indexed="64"/>
      </patternFill>
    </fill>
    <fill>
      <patternFill patternType="solid">
        <fgColor rgb="FFA9D08E"/>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theme="4" tint="0.79998168889431442"/>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theme="6" tint="0.39997558519241921"/>
        <bgColor indexed="64"/>
      </patternFill>
    </fill>
    <fill>
      <patternFill patternType="solid">
        <fgColor rgb="FFFF99CC"/>
        <bgColor indexed="64"/>
      </patternFill>
    </fill>
    <fill>
      <patternFill patternType="solid">
        <fgColor rgb="FFFF99FF"/>
        <bgColor indexed="64"/>
      </patternFill>
    </fill>
    <fill>
      <patternFill patternType="solid">
        <fgColor theme="9" tint="0.39997558519241921"/>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rgb="FFF2F2F2"/>
        <bgColor indexed="64"/>
      </patternFill>
    </fill>
    <fill>
      <patternFill patternType="solid">
        <fgColor rgb="FFC00000"/>
        <bgColor indexed="64"/>
      </patternFill>
    </fill>
    <fill>
      <patternFill patternType="solid">
        <fgColor rgb="FF00B050"/>
        <bgColor indexed="64"/>
      </patternFill>
    </fill>
    <fill>
      <patternFill patternType="solid">
        <fgColor rgb="FFC6EFCE"/>
      </patternFill>
    </fill>
    <fill>
      <patternFill patternType="solid">
        <fgColor rgb="FFCEE193"/>
        <bgColor indexed="64"/>
      </patternFill>
    </fill>
    <fill>
      <patternFill patternType="solid">
        <fgColor indexed="41"/>
        <bgColor indexed="64"/>
      </patternFill>
    </fill>
    <fill>
      <patternFill patternType="solid">
        <fgColor theme="7" tint="0.59999389629810485"/>
        <bgColor indexed="64"/>
      </patternFill>
    </fill>
    <fill>
      <patternFill patternType="solid">
        <fgColor rgb="FFF2DCDB"/>
        <bgColor indexed="64"/>
      </patternFill>
    </fill>
    <fill>
      <patternFill patternType="solid">
        <fgColor rgb="FFBFBFBF"/>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4" tint="-0.249977111117893"/>
        <bgColor indexed="64"/>
      </patternFill>
    </fill>
  </fills>
  <borders count="210">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Dashed">
        <color indexed="64"/>
      </bottom>
      <diagonal/>
    </border>
    <border>
      <left/>
      <right/>
      <top style="mediumDashed">
        <color indexed="64"/>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double">
        <color indexed="64"/>
      </top>
      <bottom style="double">
        <color indexed="64"/>
      </bottom>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style="double">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auto="1"/>
      </left>
      <right style="thin">
        <color indexed="64"/>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theme="3"/>
      </right>
      <top style="thin">
        <color indexed="64"/>
      </top>
      <bottom/>
      <diagonal/>
    </border>
    <border>
      <left style="thin">
        <color theme="3"/>
      </left>
      <right style="thin">
        <color theme="3"/>
      </right>
      <top/>
      <bottom/>
      <diagonal/>
    </border>
    <border>
      <left style="thin">
        <color indexed="64"/>
      </left>
      <right style="thin">
        <color theme="3"/>
      </right>
      <top/>
      <bottom style="thin">
        <color indexed="64"/>
      </bottom>
      <diagonal/>
    </border>
    <border>
      <left style="thin">
        <color theme="3"/>
      </left>
      <right style="thin">
        <color theme="3"/>
      </right>
      <top/>
      <bottom style="thin">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double">
        <color indexed="64"/>
      </top>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style="thin">
        <color indexed="64"/>
      </right>
      <top/>
      <bottom style="medium">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medium">
        <color rgb="FF9BC2E6"/>
      </left>
      <right/>
      <top style="medium">
        <color rgb="FF9BC2E6"/>
      </top>
      <bottom style="medium">
        <color rgb="FF9BC2E6"/>
      </bottom>
      <diagonal/>
    </border>
    <border>
      <left style="medium">
        <color rgb="FF9BC2E6"/>
      </left>
      <right/>
      <top/>
      <bottom style="medium">
        <color rgb="FF9BC2E6"/>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auto="1"/>
      </top>
      <bottom/>
      <diagonal/>
    </border>
    <border>
      <left style="thin">
        <color auto="1"/>
      </left>
      <right style="thin">
        <color auto="1"/>
      </right>
      <top style="thin">
        <color auto="1"/>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thin">
        <color indexed="8"/>
      </left>
      <right/>
      <top/>
      <bottom style="thin">
        <color indexed="8"/>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bottom style="dotted">
        <color indexed="64"/>
      </bottom>
      <diagonal/>
    </border>
    <border>
      <left/>
      <right style="hair">
        <color indexed="64"/>
      </right>
      <top/>
      <bottom style="dotted">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theme="3"/>
      </left>
      <right style="thin">
        <color indexed="64"/>
      </right>
      <top/>
      <bottom/>
      <diagonal/>
    </border>
    <border>
      <left style="thin">
        <color theme="3"/>
      </left>
      <right style="thin">
        <color indexed="64"/>
      </right>
      <top/>
      <bottom style="thin">
        <color indexed="64"/>
      </bottom>
      <diagonal/>
    </border>
    <border>
      <left style="double">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double">
        <color indexed="64"/>
      </top>
      <bottom/>
      <diagonal/>
    </border>
    <border>
      <left/>
      <right style="thin">
        <color indexed="64"/>
      </right>
      <top style="thin">
        <color indexed="64"/>
      </top>
      <bottom/>
      <diagonal/>
    </border>
    <border>
      <left/>
      <right style="thin">
        <color theme="3"/>
      </right>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style="thin">
        <color theme="3"/>
      </left>
      <right style="medium">
        <color indexed="64"/>
      </right>
      <top/>
      <bottom style="thin">
        <color indexed="64"/>
      </bottom>
      <diagonal/>
    </border>
    <border>
      <left style="thin">
        <color theme="3"/>
      </left>
      <right style="medium">
        <color indexed="64"/>
      </right>
      <top style="thin">
        <color indexed="64"/>
      </top>
      <bottom/>
      <diagonal/>
    </border>
    <border>
      <left style="thin">
        <color indexed="64"/>
      </left>
      <right style="thin">
        <color theme="3"/>
      </right>
      <top/>
      <bottom/>
      <diagonal/>
    </border>
    <border>
      <left style="medium">
        <color indexed="64"/>
      </left>
      <right/>
      <top/>
      <bottom style="thin">
        <color indexed="64"/>
      </bottom>
      <diagonal/>
    </border>
    <border>
      <left style="thin">
        <color theme="3"/>
      </left>
      <right/>
      <top style="thin">
        <color indexed="64"/>
      </top>
      <bottom style="thin">
        <color indexed="64"/>
      </bottom>
      <diagonal/>
    </border>
    <border>
      <left/>
      <right style="thin">
        <color theme="3"/>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top style="thin">
        <color indexed="64"/>
      </top>
      <bottom/>
      <diagonal/>
    </border>
    <border>
      <left style="medium">
        <color indexed="64"/>
      </left>
      <right style="thin">
        <color theme="3"/>
      </right>
      <top/>
      <bottom/>
      <diagonal/>
    </border>
    <border>
      <left style="medium">
        <color indexed="64"/>
      </left>
      <right style="thin">
        <color theme="3"/>
      </right>
      <top/>
      <bottom style="thin">
        <color indexed="64"/>
      </bottom>
      <diagonal/>
    </border>
    <border>
      <left style="medium">
        <color indexed="64"/>
      </left>
      <right/>
      <top style="thin">
        <color indexed="64"/>
      </top>
      <bottom style="medium">
        <color indexed="64"/>
      </bottom>
      <diagonal/>
    </border>
    <border>
      <left/>
      <right style="thin">
        <color theme="3"/>
      </right>
      <top style="thin">
        <color indexed="64"/>
      </top>
      <bottom/>
      <diagonal/>
    </border>
    <border>
      <left style="thin">
        <color indexed="64"/>
      </left>
      <right style="thin">
        <color indexed="64"/>
      </right>
      <top style="thick">
        <color indexed="64"/>
      </top>
      <bottom/>
      <diagonal/>
    </border>
  </borders>
  <cellStyleXfs count="47">
    <xf numFmtId="0" fontId="0" fillId="0" borderId="0"/>
    <xf numFmtId="165" fontId="6" fillId="0" borderId="0" applyFont="0" applyFill="0" applyBorder="0" applyAlignment="0" applyProtection="0"/>
    <xf numFmtId="9" fontId="6" fillId="0" borderId="0" applyFont="0" applyFill="0" applyBorder="0" applyAlignment="0" applyProtection="0"/>
    <xf numFmtId="0" fontId="8" fillId="3" borderId="1" applyNumberFormat="0" applyFont="0" applyAlignment="0" applyProtection="0"/>
    <xf numFmtId="166" fontId="8" fillId="0" borderId="0" applyFont="0" applyFill="0" applyBorder="0" applyAlignment="0" applyProtection="0"/>
    <xf numFmtId="0" fontId="6" fillId="0" borderId="0"/>
    <xf numFmtId="166" fontId="8" fillId="0" borderId="0" applyFont="0" applyFill="0" applyBorder="0" applyAlignment="0" applyProtection="0"/>
    <xf numFmtId="9" fontId="8" fillId="0" borderId="0" applyFont="0" applyFill="0" applyBorder="0" applyAlignment="0" applyProtection="0"/>
    <xf numFmtId="0" fontId="7" fillId="2" borderId="0" applyNumberFormat="0" applyBorder="0" applyAlignment="0" applyProtection="0"/>
    <xf numFmtId="0" fontId="8" fillId="0" borderId="0"/>
    <xf numFmtId="0" fontId="8" fillId="0" borderId="0"/>
    <xf numFmtId="0" fontId="9" fillId="0" borderId="0"/>
    <xf numFmtId="0" fontId="18" fillId="22" borderId="0" applyNumberFormat="0" applyBorder="0" applyAlignment="0" applyProtection="0"/>
    <xf numFmtId="0" fontId="18" fillId="23"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6" fillId="0" borderId="0" applyNumberForma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7" fillId="2" borderId="0" applyNumberFormat="0" applyBorder="0" applyAlignment="0" applyProtection="0"/>
    <xf numFmtId="0" fontId="6" fillId="38" borderId="88" applyNumberFormat="0" applyFont="0" applyAlignment="0" applyProtection="0"/>
    <xf numFmtId="0" fontId="6" fillId="39" borderId="0" applyNumberFormat="0" applyBorder="0" applyAlignment="0" applyProtection="0"/>
    <xf numFmtId="0" fontId="6" fillId="41" borderId="0" applyNumberFormat="0" applyBorder="0" applyAlignment="0" applyProtection="0"/>
    <xf numFmtId="43" fontId="8" fillId="0" borderId="0" applyFont="0" applyFill="0" applyBorder="0" applyAlignment="0" applyProtection="0"/>
    <xf numFmtId="0" fontId="8" fillId="3" borderId="1" applyNumberFormat="0" applyFont="0" applyAlignment="0" applyProtection="0"/>
    <xf numFmtId="178" fontId="6" fillId="0" borderId="0" applyFont="0" applyFill="0" applyBorder="0" applyAlignment="0" applyProtection="0"/>
    <xf numFmtId="166" fontId="8" fillId="0" borderId="0" applyFont="0" applyFill="0" applyBorder="0" applyAlignment="0" applyProtection="0"/>
    <xf numFmtId="0" fontId="9" fillId="0" borderId="0"/>
    <xf numFmtId="0" fontId="9" fillId="0" borderId="0"/>
    <xf numFmtId="0" fontId="6" fillId="0" borderId="0"/>
    <xf numFmtId="9" fontId="8" fillId="0" borderId="0" applyFont="0" applyFill="0" applyBorder="0" applyAlignment="0" applyProtection="0"/>
    <xf numFmtId="0" fontId="143" fillId="37" borderId="0" applyNumberFormat="0" applyBorder="0" applyAlignment="0" applyProtection="0"/>
    <xf numFmtId="0" fontId="6" fillId="40" borderId="0" applyNumberFormat="0" applyBorder="0" applyAlignment="0" applyProtection="0"/>
    <xf numFmtId="0" fontId="8" fillId="3" borderId="137" applyNumberFormat="0" applyFont="0" applyAlignment="0" applyProtection="0"/>
    <xf numFmtId="0" fontId="8" fillId="3" borderId="142" applyNumberFormat="0" applyFont="0" applyAlignment="0" applyProtection="0"/>
    <xf numFmtId="0" fontId="165" fillId="63" borderId="0" applyNumberFormat="0" applyBorder="0" applyAlignment="0" applyProtection="0"/>
    <xf numFmtId="43" fontId="8"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8" fillId="0" borderId="0" applyFont="0" applyFill="0" applyBorder="0" applyAlignment="0" applyProtection="0"/>
    <xf numFmtId="0" fontId="8" fillId="3" borderId="142" applyNumberFormat="0" applyFont="0" applyAlignment="0" applyProtection="0"/>
    <xf numFmtId="43" fontId="8" fillId="0" borderId="0" applyFont="0" applyFill="0" applyBorder="0" applyAlignment="0" applyProtection="0"/>
    <xf numFmtId="0" fontId="8" fillId="3" borderId="142" applyNumberFormat="0" applyFont="0" applyAlignment="0" applyProtection="0"/>
    <xf numFmtId="0" fontId="8" fillId="3" borderId="170" applyNumberFormat="0" applyFont="0" applyAlignment="0" applyProtection="0"/>
    <xf numFmtId="42" fontId="6" fillId="0" borderId="0" applyFont="0" applyFill="0" applyBorder="0" applyAlignment="0" applyProtection="0"/>
  </cellStyleXfs>
  <cellXfs count="2706">
    <xf numFmtId="0" fontId="0" fillId="0" borderId="0" xfId="0"/>
    <xf numFmtId="0" fontId="9" fillId="0" borderId="0" xfId="5" applyFont="1" applyAlignment="1" applyProtection="1">
      <alignment vertical="center"/>
      <protection locked="0"/>
    </xf>
    <xf numFmtId="49" fontId="10" fillId="0" borderId="0" xfId="5" applyNumberFormat="1" applyFont="1" applyAlignment="1" applyProtection="1">
      <alignment horizontal="center" vertical="center"/>
      <protection locked="0"/>
    </xf>
    <xf numFmtId="0" fontId="10" fillId="0" borderId="0" xfId="5" applyFont="1" applyAlignment="1" applyProtection="1">
      <alignment vertical="center"/>
      <protection locked="0"/>
    </xf>
    <xf numFmtId="14" fontId="10" fillId="0" borderId="0" xfId="5" applyNumberFormat="1" applyFont="1" applyAlignment="1" applyProtection="1">
      <alignment vertical="center"/>
      <protection locked="0"/>
    </xf>
    <xf numFmtId="170" fontId="10" fillId="0" borderId="0" xfId="7" applyNumberFormat="1" applyFont="1" applyAlignment="1" applyProtection="1">
      <alignment vertical="center"/>
      <protection locked="0"/>
    </xf>
    <xf numFmtId="171" fontId="10" fillId="0" borderId="0" xfId="7" applyNumberFormat="1" applyFont="1" applyAlignment="1" applyProtection="1">
      <alignment vertical="center"/>
      <protection locked="0"/>
    </xf>
    <xf numFmtId="170" fontId="10" fillId="0" borderId="0" xfId="7" applyNumberFormat="1" applyFont="1" applyFill="1" applyAlignment="1" applyProtection="1">
      <alignment vertical="center"/>
      <protection locked="0"/>
    </xf>
    <xf numFmtId="170" fontId="12" fillId="0" borderId="0" xfId="7" applyNumberFormat="1" applyFont="1" applyAlignment="1" applyProtection="1">
      <alignment vertical="center"/>
      <protection locked="0"/>
    </xf>
    <xf numFmtId="0" fontId="19" fillId="0" borderId="0" xfId="0" applyFont="1" applyAlignment="1" applyProtection="1">
      <alignment horizontal="right" vertical="center"/>
      <protection hidden="1"/>
    </xf>
    <xf numFmtId="0" fontId="14" fillId="0" borderId="0" xfId="0" applyFont="1" applyAlignment="1" applyProtection="1">
      <alignment wrapText="1"/>
      <protection hidden="1"/>
    </xf>
    <xf numFmtId="0" fontId="14" fillId="0" borderId="0" xfId="0" applyFont="1" applyProtection="1">
      <protection hidden="1"/>
    </xf>
    <xf numFmtId="175" fontId="19" fillId="0" borderId="0" xfId="0" applyNumberFormat="1" applyFont="1" applyProtection="1">
      <protection hidden="1"/>
    </xf>
    <xf numFmtId="10" fontId="19" fillId="0" borderId="0" xfId="0" applyNumberFormat="1" applyFont="1" applyAlignment="1" applyProtection="1">
      <alignment horizontal="center"/>
      <protection locked="0"/>
    </xf>
    <xf numFmtId="175" fontId="19" fillId="0" borderId="0" xfId="15" applyNumberFormat="1" applyFont="1" applyFill="1" applyBorder="1" applyAlignment="1" applyProtection="1">
      <alignment horizontal="center"/>
      <protection hidden="1"/>
    </xf>
    <xf numFmtId="0" fontId="19" fillId="0" borderId="0" xfId="0" applyFont="1" applyProtection="1">
      <protection hidden="1"/>
    </xf>
    <xf numFmtId="0" fontId="14" fillId="0" borderId="0" xfId="0" applyFont="1" applyAlignment="1" applyProtection="1">
      <alignment horizontal="right"/>
      <protection hidden="1"/>
    </xf>
    <xf numFmtId="0" fontId="19" fillId="7" borderId="4" xfId="0" applyFont="1" applyFill="1" applyBorder="1" applyAlignment="1" applyProtection="1">
      <alignment horizontal="center" vertical="center" wrapText="1"/>
      <protection hidden="1"/>
    </xf>
    <xf numFmtId="0" fontId="19" fillId="29" borderId="4" xfId="0" applyFont="1" applyFill="1" applyBorder="1" applyAlignment="1" applyProtection="1">
      <alignment horizontal="center" vertical="center" wrapText="1"/>
      <protection hidden="1"/>
    </xf>
    <xf numFmtId="0" fontId="11" fillId="24" borderId="4" xfId="12" applyFont="1" applyFill="1" applyBorder="1" applyAlignment="1" applyProtection="1">
      <alignment horizontal="center" vertical="center"/>
      <protection hidden="1"/>
    </xf>
    <xf numFmtId="0" fontId="20" fillId="0" borderId="4" xfId="0" applyFont="1" applyBorder="1" applyAlignment="1" applyProtection="1">
      <alignment horizontal="center" vertical="center" wrapText="1"/>
      <protection locked="0" hidden="1"/>
    </xf>
    <xf numFmtId="0" fontId="20" fillId="0" borderId="4" xfId="0" applyFont="1" applyBorder="1" applyAlignment="1" applyProtection="1">
      <alignment horizontal="center" vertical="center"/>
      <protection locked="0" hidden="1"/>
    </xf>
    <xf numFmtId="0" fontId="23" fillId="23" borderId="4" xfId="13" applyFont="1" applyBorder="1" applyAlignment="1" applyProtection="1">
      <alignment horizontal="center" vertical="center"/>
      <protection hidden="1"/>
    </xf>
    <xf numFmtId="176" fontId="24" fillId="25" borderId="4" xfId="2" applyNumberFormat="1" applyFont="1" applyFill="1" applyBorder="1" applyAlignment="1" applyProtection="1">
      <alignment horizontal="center" vertical="center"/>
      <protection hidden="1"/>
    </xf>
    <xf numFmtId="9" fontId="24" fillId="25" borderId="4" xfId="2" applyFont="1" applyFill="1" applyBorder="1" applyAlignment="1" applyProtection="1">
      <alignment horizontal="center" vertical="center"/>
      <protection hidden="1"/>
    </xf>
    <xf numFmtId="165" fontId="19" fillId="13" borderId="0" xfId="1" applyFont="1" applyFill="1" applyBorder="1" applyAlignment="1">
      <alignment wrapText="1"/>
    </xf>
    <xf numFmtId="0" fontId="14" fillId="0" borderId="13" xfId="0" applyFont="1" applyBorder="1" applyAlignment="1" applyProtection="1">
      <alignment horizontal="left"/>
      <protection hidden="1"/>
    </xf>
    <xf numFmtId="0" fontId="27" fillId="13" borderId="0" xfId="12" applyFont="1" applyFill="1" applyBorder="1" applyAlignment="1" applyProtection="1">
      <alignment horizontal="left" vertical="top" wrapText="1"/>
      <protection locked="0" hidden="1"/>
    </xf>
    <xf numFmtId="0" fontId="25" fillId="25" borderId="70" xfId="0" applyFont="1" applyFill="1" applyBorder="1" applyAlignment="1" applyProtection="1">
      <alignment horizontal="center" vertical="center"/>
      <protection hidden="1"/>
    </xf>
    <xf numFmtId="0" fontId="14" fillId="13" borderId="0" xfId="0" applyFont="1" applyFill="1"/>
    <xf numFmtId="0" fontId="14" fillId="0" borderId="0" xfId="0" applyFont="1"/>
    <xf numFmtId="0" fontId="14" fillId="0" borderId="4" xfId="0" applyFont="1" applyBorder="1" applyAlignment="1">
      <alignment horizontal="center"/>
    </xf>
    <xf numFmtId="0" fontId="14" fillId="13" borderId="0" xfId="0" applyFont="1" applyFill="1" applyProtection="1">
      <protection hidden="1"/>
    </xf>
    <xf numFmtId="0" fontId="14" fillId="13" borderId="0" xfId="0" applyFont="1" applyFill="1" applyProtection="1">
      <protection locked="0"/>
    </xf>
    <xf numFmtId="0" fontId="14" fillId="13" borderId="0" xfId="0" applyFont="1" applyFill="1" applyAlignment="1" applyProtection="1">
      <alignment horizontal="center"/>
      <protection hidden="1"/>
    </xf>
    <xf numFmtId="0" fontId="30" fillId="18" borderId="57" xfId="0" applyFont="1" applyFill="1" applyBorder="1" applyAlignment="1">
      <alignment horizontal="center" vertical="center" wrapText="1"/>
    </xf>
    <xf numFmtId="0" fontId="30" fillId="18" borderId="58" xfId="0" applyFont="1" applyFill="1" applyBorder="1" applyAlignment="1">
      <alignment horizontal="center" vertical="center" wrapText="1"/>
    </xf>
    <xf numFmtId="0" fontId="14" fillId="13" borderId="68" xfId="0" applyFont="1" applyFill="1" applyBorder="1"/>
    <xf numFmtId="1" fontId="14" fillId="0" borderId="69" xfId="1" applyNumberFormat="1" applyFont="1" applyBorder="1"/>
    <xf numFmtId="165" fontId="14" fillId="0" borderId="69" xfId="1" applyFont="1" applyBorder="1"/>
    <xf numFmtId="0" fontId="30" fillId="18" borderId="60" xfId="0" applyFont="1" applyFill="1" applyBorder="1" applyAlignment="1">
      <alignment horizontal="center" vertical="center" wrapText="1"/>
    </xf>
    <xf numFmtId="0" fontId="35" fillId="12" borderId="59" xfId="0" applyFont="1" applyFill="1" applyBorder="1" applyAlignment="1">
      <alignment horizontal="center" vertical="center" wrapText="1"/>
    </xf>
    <xf numFmtId="0" fontId="35" fillId="12" borderId="60" xfId="0" applyFont="1" applyFill="1" applyBorder="1" applyAlignment="1">
      <alignment horizontal="center" vertical="center" wrapText="1"/>
    </xf>
    <xf numFmtId="0" fontId="35" fillId="12" borderId="70" xfId="0" applyFont="1" applyFill="1" applyBorder="1" applyAlignment="1">
      <alignment horizontal="center" vertical="center" wrapText="1"/>
    </xf>
    <xf numFmtId="0" fontId="35" fillId="33" borderId="74" xfId="0" applyFont="1" applyFill="1" applyBorder="1" applyAlignment="1">
      <alignment horizontal="center" vertical="center" wrapText="1"/>
    </xf>
    <xf numFmtId="0" fontId="35" fillId="33" borderId="14" xfId="0" applyFont="1" applyFill="1" applyBorder="1" applyAlignment="1">
      <alignment horizontal="center" vertical="center" wrapText="1"/>
    </xf>
    <xf numFmtId="0" fontId="25" fillId="0" borderId="72" xfId="0" applyFont="1" applyBorder="1" applyAlignment="1">
      <alignment horizontal="center" vertical="center" wrapText="1"/>
    </xf>
    <xf numFmtId="44" fontId="14" fillId="0" borderId="57" xfId="17" applyFont="1" applyBorder="1"/>
    <xf numFmtId="165" fontId="14" fillId="0" borderId="58" xfId="1" applyFont="1" applyBorder="1"/>
    <xf numFmtId="0" fontId="25" fillId="0" borderId="0" xfId="0" applyFont="1" applyProtection="1">
      <protection hidden="1"/>
    </xf>
    <xf numFmtId="0" fontId="10" fillId="0" borderId="0" xfId="0" applyFont="1" applyAlignment="1" applyProtection="1">
      <alignment vertical="center"/>
      <protection hidden="1"/>
    </xf>
    <xf numFmtId="0" fontId="14" fillId="0" borderId="0" xfId="0" applyFont="1" applyProtection="1">
      <protection locked="0"/>
    </xf>
    <xf numFmtId="0" fontId="25" fillId="0" borderId="0" xfId="0" applyFont="1" applyAlignment="1" applyProtection="1">
      <alignment horizontal="right"/>
      <protection locked="0"/>
    </xf>
    <xf numFmtId="0" fontId="14" fillId="0" borderId="73" xfId="0" applyFont="1" applyBorder="1" applyProtection="1">
      <protection hidden="1"/>
    </xf>
    <xf numFmtId="0" fontId="14" fillId="0" borderId="77" xfId="0" applyFont="1" applyBorder="1" applyProtection="1">
      <protection hidden="1"/>
    </xf>
    <xf numFmtId="0" fontId="25" fillId="0" borderId="0" xfId="0" applyFont="1" applyAlignment="1" applyProtection="1">
      <alignment horizontal="center"/>
      <protection hidden="1"/>
    </xf>
    <xf numFmtId="0" fontId="36" fillId="0" borderId="0" xfId="0" applyFont="1" applyProtection="1">
      <protection hidden="1"/>
    </xf>
    <xf numFmtId="0" fontId="25" fillId="10" borderId="4" xfId="0" applyFont="1" applyFill="1" applyBorder="1" applyAlignment="1" applyProtection="1">
      <alignment horizontal="center" vertical="center"/>
      <protection hidden="1"/>
    </xf>
    <xf numFmtId="167" fontId="27" fillId="0" borderId="0" xfId="4" applyNumberFormat="1" applyFont="1" applyAlignment="1" applyProtection="1">
      <alignment horizontal="center" vertical="center"/>
      <protection locked="0"/>
    </xf>
    <xf numFmtId="167" fontId="27" fillId="16" borderId="0" xfId="4" applyNumberFormat="1" applyFont="1" applyFill="1" applyAlignment="1" applyProtection="1">
      <alignment horizontal="center" vertical="center"/>
      <protection locked="0"/>
    </xf>
    <xf numFmtId="174" fontId="14" fillId="0" borderId="0" xfId="1" applyNumberFormat="1" applyFont="1" applyProtection="1">
      <protection hidden="1"/>
    </xf>
    <xf numFmtId="0" fontId="14" fillId="0" borderId="0" xfId="0" quotePrefix="1" applyFont="1" applyProtection="1">
      <protection hidden="1"/>
    </xf>
    <xf numFmtId="0" fontId="14" fillId="0" borderId="0" xfId="0" applyFont="1" applyAlignment="1" applyProtection="1">
      <alignment horizontal="center"/>
      <protection hidden="1"/>
    </xf>
    <xf numFmtId="173" fontId="27" fillId="0" borderId="0" xfId="2" applyNumberFormat="1" applyFont="1" applyAlignment="1" applyProtection="1">
      <alignment horizontal="center" vertical="center"/>
      <protection locked="0"/>
    </xf>
    <xf numFmtId="9" fontId="27" fillId="16" borderId="0" xfId="2" applyFont="1" applyFill="1" applyAlignment="1" applyProtection="1">
      <alignment horizontal="center" vertical="center"/>
      <protection locked="0"/>
    </xf>
    <xf numFmtId="9" fontId="27" fillId="0" borderId="0" xfId="2" applyFont="1" applyAlignment="1" applyProtection="1">
      <alignment horizontal="center" vertical="center"/>
      <protection locked="0"/>
    </xf>
    <xf numFmtId="10" fontId="27" fillId="16" borderId="0" xfId="2" applyNumberFormat="1" applyFont="1" applyFill="1" applyAlignment="1" applyProtection="1">
      <alignment horizontal="center" vertical="center"/>
      <protection locked="0"/>
    </xf>
    <xf numFmtId="10" fontId="27" fillId="0" borderId="0" xfId="2" applyNumberFormat="1" applyFont="1" applyAlignment="1" applyProtection="1">
      <alignment horizontal="center" vertical="center"/>
      <protection locked="0"/>
    </xf>
    <xf numFmtId="164" fontId="22" fillId="0" borderId="0" xfId="14" applyFont="1" applyFill="1" applyBorder="1" applyAlignment="1" applyProtection="1">
      <protection hidden="1"/>
    </xf>
    <xf numFmtId="0" fontId="14" fillId="0" borderId="0" xfId="0" applyFont="1" applyAlignment="1" applyProtection="1">
      <alignment horizontal="justify" vertical="top" wrapText="1"/>
      <protection locked="0"/>
    </xf>
    <xf numFmtId="0" fontId="14" fillId="0" borderId="0" xfId="0" applyFont="1" applyAlignment="1" applyProtection="1">
      <alignment horizontal="right" vertical="top"/>
      <protection locked="0"/>
    </xf>
    <xf numFmtId="175" fontId="14" fillId="0" borderId="0" xfId="14" applyNumberFormat="1" applyFont="1" applyFill="1" applyBorder="1" applyAlignment="1" applyProtection="1">
      <alignment horizontal="justify" vertical="top" wrapText="1"/>
      <protection locked="0"/>
    </xf>
    <xf numFmtId="9" fontId="27" fillId="0" borderId="0" xfId="2" applyFont="1" applyAlignment="1" applyProtection="1">
      <alignment horizontal="right" vertical="center"/>
      <protection locked="0"/>
    </xf>
    <xf numFmtId="167" fontId="42" fillId="0" borderId="0" xfId="4" applyNumberFormat="1" applyFont="1" applyAlignment="1" applyProtection="1">
      <alignment horizontal="center" vertical="center"/>
      <protection locked="0"/>
    </xf>
    <xf numFmtId="1" fontId="42" fillId="16" borderId="0" xfId="2" applyNumberFormat="1" applyFont="1" applyFill="1" applyAlignment="1" applyProtection="1">
      <alignment horizontal="center" vertical="center"/>
      <protection locked="0"/>
    </xf>
    <xf numFmtId="1" fontId="42" fillId="0" borderId="0" xfId="2" applyNumberFormat="1" applyFont="1" applyAlignment="1" applyProtection="1">
      <alignment horizontal="center" vertical="center"/>
      <protection locked="0"/>
    </xf>
    <xf numFmtId="0" fontId="25" fillId="0" borderId="0" xfId="0" applyFont="1" applyAlignment="1" applyProtection="1">
      <alignment horizontal="right" vertical="top" wrapText="1"/>
      <protection locked="0"/>
    </xf>
    <xf numFmtId="9" fontId="25" fillId="0" borderId="0" xfId="0" applyNumberFormat="1" applyFont="1" applyAlignment="1" applyProtection="1">
      <alignment horizontal="right" vertical="top" wrapText="1"/>
      <protection locked="0"/>
    </xf>
    <xf numFmtId="0" fontId="25" fillId="0" borderId="0" xfId="0" applyFont="1" applyAlignment="1" applyProtection="1">
      <alignment horizontal="right"/>
      <protection hidden="1"/>
    </xf>
    <xf numFmtId="175" fontId="25" fillId="0" borderId="0" xfId="0" applyNumberFormat="1" applyFont="1" applyAlignment="1" applyProtection="1">
      <alignment horizontal="right"/>
      <protection hidden="1"/>
    </xf>
    <xf numFmtId="10" fontId="27" fillId="0" borderId="36" xfId="2" applyNumberFormat="1" applyFont="1" applyBorder="1" applyAlignment="1" applyProtection="1">
      <alignment horizontal="center" vertical="center"/>
      <protection locked="0"/>
    </xf>
    <xf numFmtId="0" fontId="14" fillId="0" borderId="36" xfId="0" applyFont="1" applyBorder="1" applyProtection="1">
      <protection hidden="1"/>
    </xf>
    <xf numFmtId="0" fontId="19" fillId="0" borderId="0" xfId="0" applyFont="1" applyAlignment="1" applyProtection="1">
      <alignment horizontal="right" vertical="top" wrapText="1"/>
      <protection locked="0"/>
    </xf>
    <xf numFmtId="9" fontId="19" fillId="0" borderId="0" xfId="0" applyNumberFormat="1" applyFont="1" applyAlignment="1" applyProtection="1">
      <alignment horizontal="right" vertical="top" wrapText="1"/>
      <protection locked="0"/>
    </xf>
    <xf numFmtId="167" fontId="27" fillId="9" borderId="0" xfId="4" applyNumberFormat="1" applyFont="1" applyFill="1" applyAlignment="1" applyProtection="1">
      <alignment horizontal="center" vertical="center"/>
      <protection locked="0"/>
    </xf>
    <xf numFmtId="175" fontId="19" fillId="0" borderId="0" xfId="14" applyNumberFormat="1" applyFont="1" applyFill="1" applyBorder="1" applyAlignment="1" applyProtection="1">
      <alignment horizontal="right" vertical="top" wrapText="1"/>
      <protection locked="0"/>
    </xf>
    <xf numFmtId="0" fontId="21" fillId="0" borderId="0" xfId="0" applyFont="1" applyAlignment="1" applyProtection="1">
      <alignment horizontal="center"/>
      <protection hidden="1"/>
    </xf>
    <xf numFmtId="9" fontId="14" fillId="0" borderId="0" xfId="0" applyNumberFormat="1" applyFont="1" applyAlignment="1" applyProtection="1">
      <alignment horizontal="center"/>
      <protection hidden="1"/>
    </xf>
    <xf numFmtId="9" fontId="27" fillId="0" borderId="0" xfId="0" applyNumberFormat="1" applyFont="1" applyAlignment="1" applyProtection="1">
      <alignment horizontal="center"/>
      <protection hidden="1"/>
    </xf>
    <xf numFmtId="0" fontId="25" fillId="0" borderId="0" xfId="0" applyFont="1" applyAlignment="1" applyProtection="1">
      <alignment horizontal="left"/>
      <protection hidden="1"/>
    </xf>
    <xf numFmtId="10" fontId="27" fillId="0" borderId="0" xfId="0" applyNumberFormat="1" applyFont="1" applyAlignment="1" applyProtection="1">
      <alignment horizontal="center"/>
      <protection hidden="1"/>
    </xf>
    <xf numFmtId="172" fontId="27" fillId="0" borderId="0" xfId="2" applyNumberFormat="1" applyFont="1" applyAlignment="1" applyProtection="1">
      <alignment horizontal="center" vertical="center"/>
      <protection locked="0"/>
    </xf>
    <xf numFmtId="9" fontId="25" fillId="0" borderId="0" xfId="0" applyNumberFormat="1" applyFont="1" applyAlignment="1" applyProtection="1">
      <alignment horizontal="center"/>
      <protection hidden="1"/>
    </xf>
    <xf numFmtId="170" fontId="27" fillId="0" borderId="0" xfId="2" applyNumberFormat="1" applyFont="1" applyAlignment="1" applyProtection="1">
      <alignment horizontal="center" vertical="center"/>
      <protection locked="0"/>
    </xf>
    <xf numFmtId="167" fontId="27" fillId="21" borderId="0" xfId="4" applyNumberFormat="1" applyFont="1" applyFill="1" applyAlignment="1" applyProtection="1">
      <alignment horizontal="center" vertical="center"/>
      <protection locked="0"/>
    </xf>
    <xf numFmtId="171" fontId="14" fillId="0" borderId="0" xfId="1" applyNumberFormat="1" applyFont="1" applyProtection="1">
      <protection hidden="1"/>
    </xf>
    <xf numFmtId="9" fontId="27" fillId="0" borderId="19" xfId="2" applyFont="1" applyBorder="1" applyAlignment="1" applyProtection="1">
      <alignment horizontal="center" vertical="center"/>
      <protection locked="0"/>
    </xf>
    <xf numFmtId="9" fontId="14" fillId="0" borderId="0" xfId="2" applyFont="1" applyFill="1" applyBorder="1" applyAlignment="1" applyProtection="1">
      <alignment horizontal="center"/>
      <protection locked="0" hidden="1"/>
    </xf>
    <xf numFmtId="175" fontId="14" fillId="0" borderId="0" xfId="15" applyNumberFormat="1" applyFont="1" applyFill="1" applyBorder="1" applyProtection="1">
      <protection hidden="1"/>
    </xf>
    <xf numFmtId="0" fontId="25" fillId="0" borderId="0" xfId="0" applyFont="1" applyAlignment="1" applyProtection="1">
      <alignment horizontal="center" vertical="center"/>
      <protection hidden="1"/>
    </xf>
    <xf numFmtId="0" fontId="25" fillId="0" borderId="0" xfId="0" applyFont="1" applyAlignment="1" applyProtection="1">
      <alignment horizontal="center" vertical="center" wrapText="1"/>
      <protection hidden="1"/>
    </xf>
    <xf numFmtId="9" fontId="14" fillId="0" borderId="0" xfId="2" applyFont="1" applyFill="1" applyBorder="1" applyAlignment="1" applyProtection="1">
      <alignment horizontal="center"/>
      <protection hidden="1"/>
    </xf>
    <xf numFmtId="0" fontId="14" fillId="0" borderId="16" xfId="0" applyFont="1" applyBorder="1" applyProtection="1">
      <protection hidden="1"/>
    </xf>
    <xf numFmtId="167" fontId="27" fillId="0" borderId="0" xfId="4" applyNumberFormat="1" applyFont="1" applyAlignment="1" applyProtection="1">
      <alignment vertical="center"/>
      <protection locked="0"/>
    </xf>
    <xf numFmtId="0" fontId="27" fillId="0" borderId="0" xfId="5" applyFont="1" applyAlignment="1" applyProtection="1">
      <alignment vertical="center"/>
      <protection locked="0"/>
    </xf>
    <xf numFmtId="167" fontId="13" fillId="0" borderId="0" xfId="4" applyNumberFormat="1" applyFont="1" applyAlignment="1" applyProtection="1">
      <alignment horizontal="center" vertical="center" wrapText="1"/>
      <protection locked="0"/>
    </xf>
    <xf numFmtId="174" fontId="13" fillId="0" borderId="0" xfId="1" applyNumberFormat="1" applyFont="1" applyAlignment="1" applyProtection="1">
      <alignment horizontal="center" vertical="center" wrapText="1"/>
      <protection locked="0"/>
    </xf>
    <xf numFmtId="49" fontId="13" fillId="7" borderId="48" xfId="4" applyNumberFormat="1" applyFont="1" applyFill="1" applyBorder="1" applyAlignment="1" applyProtection="1">
      <alignment horizontal="center" vertical="center" wrapText="1"/>
      <protection locked="0"/>
    </xf>
    <xf numFmtId="49" fontId="13" fillId="7" borderId="11" xfId="4" applyNumberFormat="1" applyFont="1" applyFill="1" applyBorder="1" applyAlignment="1" applyProtection="1">
      <alignment horizontal="center" vertical="center" wrapText="1"/>
      <protection locked="0"/>
    </xf>
    <xf numFmtId="49" fontId="13" fillId="7" borderId="11" xfId="4" applyNumberFormat="1" applyFont="1" applyFill="1" applyBorder="1" applyAlignment="1" applyProtection="1">
      <alignment horizontal="center" vertical="center"/>
      <protection locked="0"/>
    </xf>
    <xf numFmtId="49" fontId="13" fillId="7" borderId="12" xfId="4" applyNumberFormat="1" applyFont="1" applyFill="1" applyBorder="1" applyAlignment="1" applyProtection="1">
      <alignment horizontal="center" vertical="center"/>
      <protection locked="0"/>
    </xf>
    <xf numFmtId="14" fontId="13" fillId="7" borderId="21" xfId="4" applyNumberFormat="1" applyFont="1" applyFill="1" applyBorder="1" applyAlignment="1" applyProtection="1">
      <alignment horizontal="center" vertical="center" wrapText="1"/>
      <protection locked="0"/>
    </xf>
    <xf numFmtId="14" fontId="13" fillId="7" borderId="4" xfId="4" applyNumberFormat="1" applyFont="1" applyFill="1" applyBorder="1" applyAlignment="1" applyProtection="1">
      <alignment horizontal="center" vertical="center" wrapText="1"/>
      <protection locked="0"/>
    </xf>
    <xf numFmtId="14" fontId="13" fillId="7" borderId="17" xfId="4" applyNumberFormat="1" applyFont="1" applyFill="1" applyBorder="1" applyAlignment="1" applyProtection="1">
      <alignment horizontal="center" vertical="center" wrapText="1"/>
      <protection locked="0"/>
    </xf>
    <xf numFmtId="49" fontId="13" fillId="7" borderId="21" xfId="4" applyNumberFormat="1" applyFont="1" applyFill="1" applyBorder="1" applyAlignment="1" applyProtection="1">
      <alignment horizontal="center" vertical="center" wrapText="1"/>
      <protection locked="0"/>
    </xf>
    <xf numFmtId="165" fontId="13" fillId="7" borderId="21" xfId="1" applyFont="1" applyFill="1" applyBorder="1" applyAlignment="1" applyProtection="1">
      <alignment horizontal="center" vertical="center" wrapText="1"/>
      <protection locked="0"/>
    </xf>
    <xf numFmtId="165" fontId="13" fillId="7" borderId="4" xfId="1" applyFont="1" applyFill="1" applyBorder="1" applyAlignment="1" applyProtection="1">
      <alignment horizontal="center" vertical="center" wrapText="1"/>
      <protection locked="0"/>
    </xf>
    <xf numFmtId="165" fontId="13" fillId="7" borderId="17" xfId="1" applyFont="1" applyFill="1" applyBorder="1" applyAlignment="1" applyProtection="1">
      <alignment horizontal="center" vertical="center" wrapText="1"/>
      <protection locked="0"/>
    </xf>
    <xf numFmtId="168" fontId="13" fillId="8" borderId="21" xfId="4" applyNumberFormat="1" applyFont="1" applyFill="1" applyBorder="1" applyAlignment="1" applyProtection="1">
      <alignment horizontal="center" vertical="center" wrapText="1"/>
      <protection locked="0"/>
    </xf>
    <xf numFmtId="168" fontId="13" fillId="8" borderId="4" xfId="4" applyNumberFormat="1" applyFont="1" applyFill="1" applyBorder="1" applyAlignment="1" applyProtection="1">
      <alignment horizontal="center" vertical="center" wrapText="1"/>
      <protection locked="0"/>
    </xf>
    <xf numFmtId="168" fontId="13" fillId="8" borderId="17" xfId="4" applyNumberFormat="1" applyFont="1" applyFill="1" applyBorder="1" applyAlignment="1" applyProtection="1">
      <alignment horizontal="center" vertical="center" wrapText="1"/>
      <protection locked="0"/>
    </xf>
    <xf numFmtId="167" fontId="9" fillId="7" borderId="21" xfId="4" applyNumberFormat="1" applyFont="1" applyFill="1" applyBorder="1" applyAlignment="1" applyProtection="1">
      <alignment horizontal="center" vertical="center" wrapText="1"/>
      <protection locked="0"/>
    </xf>
    <xf numFmtId="167" fontId="9" fillId="7" borderId="4" xfId="4" applyNumberFormat="1" applyFont="1" applyFill="1" applyBorder="1" applyAlignment="1" applyProtection="1">
      <alignment horizontal="center" vertical="center" wrapText="1"/>
      <protection locked="0"/>
    </xf>
    <xf numFmtId="167" fontId="9" fillId="7" borderId="17" xfId="4" applyNumberFormat="1" applyFont="1" applyFill="1" applyBorder="1" applyAlignment="1" applyProtection="1">
      <alignment horizontal="center" vertical="center" wrapText="1"/>
      <protection locked="0"/>
    </xf>
    <xf numFmtId="167" fontId="13" fillId="7" borderId="21" xfId="4" applyNumberFormat="1" applyFont="1" applyFill="1" applyBorder="1" applyAlignment="1" applyProtection="1">
      <alignment horizontal="center" vertical="center" wrapText="1"/>
      <protection locked="0"/>
    </xf>
    <xf numFmtId="10" fontId="13" fillId="6" borderId="21" xfId="7" applyNumberFormat="1" applyFont="1" applyFill="1" applyBorder="1" applyAlignment="1" applyProtection="1">
      <alignment horizontal="center" vertical="center" wrapText="1"/>
      <protection hidden="1"/>
    </xf>
    <xf numFmtId="10" fontId="13" fillId="6" borderId="4" xfId="7" applyNumberFormat="1" applyFont="1" applyFill="1" applyBorder="1" applyAlignment="1" applyProtection="1">
      <alignment horizontal="center" vertical="center" wrapText="1"/>
      <protection hidden="1"/>
    </xf>
    <xf numFmtId="170" fontId="13" fillId="6" borderId="4" xfId="7" applyNumberFormat="1" applyFont="1" applyFill="1" applyBorder="1" applyAlignment="1" applyProtection="1">
      <alignment horizontal="center" vertical="center" wrapText="1"/>
      <protection locked="0"/>
    </xf>
    <xf numFmtId="170" fontId="13" fillId="6" borderId="17" xfId="7" applyNumberFormat="1" applyFont="1" applyFill="1" applyBorder="1" applyAlignment="1" applyProtection="1">
      <alignment horizontal="center" vertical="center" wrapText="1"/>
      <protection locked="0"/>
    </xf>
    <xf numFmtId="171" fontId="13" fillId="12" borderId="21" xfId="7" applyNumberFormat="1" applyFont="1" applyFill="1" applyBorder="1" applyAlignment="1" applyProtection="1">
      <alignment horizontal="center" vertical="center" wrapText="1"/>
      <protection locked="0"/>
    </xf>
    <xf numFmtId="171" fontId="13" fillId="12" borderId="4" xfId="7" applyNumberFormat="1" applyFont="1" applyFill="1" applyBorder="1" applyAlignment="1" applyProtection="1">
      <alignment horizontal="center" vertical="center" wrapText="1"/>
      <protection locked="0"/>
    </xf>
    <xf numFmtId="171" fontId="13" fillId="12" borderId="17" xfId="7" applyNumberFormat="1" applyFont="1" applyFill="1" applyBorder="1" applyAlignment="1" applyProtection="1">
      <alignment horizontal="center" vertical="center" wrapText="1"/>
      <protection locked="0"/>
    </xf>
    <xf numFmtId="0" fontId="13" fillId="12" borderId="18" xfId="7" applyNumberFormat="1" applyFont="1" applyFill="1" applyBorder="1" applyAlignment="1" applyProtection="1">
      <alignment horizontal="center" vertical="center" wrapText="1"/>
      <protection locked="0"/>
    </xf>
    <xf numFmtId="0" fontId="13" fillId="12" borderId="22" xfId="7" applyNumberFormat="1" applyFont="1" applyFill="1" applyBorder="1" applyAlignment="1" applyProtection="1">
      <alignment horizontal="center" vertical="center" wrapText="1"/>
      <protection locked="0"/>
    </xf>
    <xf numFmtId="0" fontId="13" fillId="12" borderId="23" xfId="7" applyNumberFormat="1" applyFont="1" applyFill="1" applyBorder="1" applyAlignment="1" applyProtection="1">
      <alignment horizontal="center" vertical="center" wrapText="1"/>
      <protection locked="0"/>
    </xf>
    <xf numFmtId="49" fontId="44" fillId="0" borderId="0" xfId="5" applyNumberFormat="1" applyFont="1" applyAlignment="1">
      <alignment horizontal="left" vertical="center" wrapText="1"/>
    </xf>
    <xf numFmtId="171" fontId="13" fillId="0" borderId="0" xfId="7" applyNumberFormat="1" applyFont="1" applyFill="1" applyBorder="1" applyAlignment="1" applyProtection="1">
      <alignment horizontal="center" vertical="center" wrapText="1"/>
    </xf>
    <xf numFmtId="170" fontId="13" fillId="0" borderId="0" xfId="7" applyNumberFormat="1" applyFont="1" applyFill="1" applyBorder="1" applyAlignment="1" applyProtection="1">
      <alignment horizontal="center" vertical="center" wrapText="1"/>
    </xf>
    <xf numFmtId="170" fontId="45" fillId="7" borderId="6" xfId="7" applyNumberFormat="1" applyFont="1" applyFill="1" applyBorder="1" applyAlignment="1" applyProtection="1">
      <alignment horizontal="center" vertical="center" wrapText="1"/>
    </xf>
    <xf numFmtId="170" fontId="45" fillId="7" borderId="7" xfId="7" applyNumberFormat="1" applyFont="1" applyFill="1" applyBorder="1" applyAlignment="1" applyProtection="1">
      <alignment horizontal="center" vertical="center" wrapText="1"/>
    </xf>
    <xf numFmtId="170" fontId="45" fillId="7" borderId="8" xfId="7" applyNumberFormat="1" applyFont="1" applyFill="1" applyBorder="1" applyAlignment="1" applyProtection="1">
      <alignment horizontal="center" vertical="center" wrapText="1"/>
    </xf>
    <xf numFmtId="0" fontId="47" fillId="18" borderId="4" xfId="0" applyFont="1" applyFill="1" applyBorder="1" applyAlignment="1">
      <alignment vertical="center" wrapText="1"/>
    </xf>
    <xf numFmtId="0" fontId="9" fillId="11" borderId="4" xfId="8" applyFont="1" applyFill="1" applyBorder="1" applyAlignment="1" applyProtection="1">
      <alignment horizontal="center" vertical="center" wrapText="1"/>
    </xf>
    <xf numFmtId="0" fontId="47" fillId="18" borderId="9" xfId="0" applyFont="1" applyFill="1" applyBorder="1" applyAlignment="1">
      <alignment horizontal="justify" vertical="center" wrapText="1"/>
    </xf>
    <xf numFmtId="9" fontId="9" fillId="11" borderId="10" xfId="7" applyFont="1" applyFill="1" applyBorder="1" applyAlignment="1" applyProtection="1">
      <alignment horizontal="center" vertical="center"/>
      <protection locked="0"/>
    </xf>
    <xf numFmtId="9" fontId="9" fillId="11" borderId="11" xfId="7" applyFont="1" applyFill="1" applyBorder="1" applyAlignment="1" applyProtection="1">
      <alignment horizontal="center" vertical="center"/>
      <protection locked="0"/>
    </xf>
    <xf numFmtId="9" fontId="9" fillId="11" borderId="12" xfId="7" applyFont="1" applyFill="1" applyBorder="1" applyAlignment="1" applyProtection="1">
      <alignment horizontal="center" vertical="center"/>
      <protection locked="0"/>
    </xf>
    <xf numFmtId="9" fontId="9" fillId="11" borderId="16" xfId="7" applyFont="1" applyFill="1" applyBorder="1" applyAlignment="1" applyProtection="1">
      <alignment horizontal="center" vertical="center"/>
      <protection locked="0"/>
    </xf>
    <xf numFmtId="9" fontId="9" fillId="11" borderId="4" xfId="7" applyFont="1" applyFill="1" applyBorder="1" applyAlignment="1" applyProtection="1">
      <alignment horizontal="center" vertical="center"/>
      <protection locked="0"/>
    </xf>
    <xf numFmtId="9" fontId="9" fillId="11" borderId="17" xfId="7" applyFont="1" applyFill="1" applyBorder="1" applyAlignment="1" applyProtection="1">
      <alignment horizontal="center" vertical="center"/>
      <protection locked="0"/>
    </xf>
    <xf numFmtId="0" fontId="9" fillId="8" borderId="4" xfId="8" applyFont="1" applyFill="1" applyBorder="1" applyAlignment="1" applyProtection="1">
      <alignment horizontal="center" vertical="center" wrapText="1"/>
    </xf>
    <xf numFmtId="0" fontId="47" fillId="8" borderId="9" xfId="0" applyFont="1" applyFill="1" applyBorder="1" applyAlignment="1">
      <alignment horizontal="justify" vertical="center" wrapText="1"/>
    </xf>
    <xf numFmtId="0" fontId="47" fillId="8" borderId="28" xfId="0" applyFont="1" applyFill="1" applyBorder="1" applyAlignment="1">
      <alignment vertical="center" wrapText="1"/>
    </xf>
    <xf numFmtId="0" fontId="9" fillId="12" borderId="4" xfId="8" applyFont="1" applyFill="1" applyBorder="1" applyAlignment="1" applyProtection="1">
      <alignment horizontal="center" vertical="center" wrapText="1"/>
    </xf>
    <xf numFmtId="0" fontId="47" fillId="19" borderId="9" xfId="0" applyFont="1" applyFill="1" applyBorder="1" applyAlignment="1">
      <alignment horizontal="justify" vertical="center" wrapText="1"/>
    </xf>
    <xf numFmtId="9" fontId="9" fillId="12" borderId="16" xfId="7" applyFont="1" applyFill="1" applyBorder="1" applyAlignment="1" applyProtection="1">
      <alignment horizontal="center" vertical="center"/>
      <protection locked="0"/>
    </xf>
    <xf numFmtId="9" fontId="9" fillId="12" borderId="4" xfId="7" applyFont="1" applyFill="1" applyBorder="1" applyAlignment="1" applyProtection="1">
      <alignment horizontal="center" vertical="center"/>
      <protection locked="0"/>
    </xf>
    <xf numFmtId="9" fontId="9" fillId="12" borderId="17" xfId="7" applyFont="1" applyFill="1" applyBorder="1" applyAlignment="1" applyProtection="1">
      <alignment horizontal="center" vertical="center"/>
      <protection locked="0"/>
    </xf>
    <xf numFmtId="0" fontId="47" fillId="19" borderId="4" xfId="0" applyFont="1" applyFill="1" applyBorder="1" applyAlignment="1">
      <alignment vertical="center" wrapText="1"/>
    </xf>
    <xf numFmtId="0" fontId="9" fillId="6" borderId="4" xfId="8" applyFont="1" applyFill="1" applyBorder="1" applyAlignment="1" applyProtection="1">
      <alignment horizontal="center" vertical="center" wrapText="1"/>
    </xf>
    <xf numFmtId="9" fontId="9" fillId="6" borderId="16" xfId="7" applyFont="1" applyFill="1" applyBorder="1" applyAlignment="1" applyProtection="1">
      <alignment horizontal="center" vertical="center"/>
      <protection locked="0"/>
    </xf>
    <xf numFmtId="9" fontId="9" fillId="6" borderId="4" xfId="7" applyFont="1" applyFill="1" applyBorder="1" applyAlignment="1" applyProtection="1">
      <alignment horizontal="center" vertical="center"/>
      <protection locked="0"/>
    </xf>
    <xf numFmtId="9" fontId="9" fillId="6" borderId="17" xfId="7" applyFont="1" applyFill="1" applyBorder="1" applyAlignment="1" applyProtection="1">
      <alignment horizontal="center" vertical="center"/>
      <protection locked="0"/>
    </xf>
    <xf numFmtId="0" fontId="9" fillId="6" borderId="9" xfId="8" applyFont="1" applyFill="1" applyBorder="1" applyAlignment="1" applyProtection="1">
      <alignment horizontal="justify" vertical="center" wrapText="1"/>
      <protection locked="0"/>
    </xf>
    <xf numFmtId="0" fontId="9" fillId="6" borderId="22" xfId="8" applyFont="1" applyFill="1" applyBorder="1" applyAlignment="1" applyProtection="1">
      <alignment horizontal="center" vertical="center" wrapText="1"/>
    </xf>
    <xf numFmtId="0" fontId="9" fillId="6" borderId="32" xfId="8" applyFont="1" applyFill="1" applyBorder="1" applyAlignment="1" applyProtection="1">
      <alignment horizontal="justify" vertical="center" wrapText="1"/>
      <protection locked="0"/>
    </xf>
    <xf numFmtId="9" fontId="9" fillId="6" borderId="25" xfId="7" applyFont="1" applyFill="1" applyBorder="1" applyAlignment="1" applyProtection="1">
      <alignment horizontal="center" vertical="center"/>
      <protection locked="0"/>
    </xf>
    <xf numFmtId="9" fontId="9" fillId="6" borderId="22" xfId="7" applyFont="1" applyFill="1" applyBorder="1" applyAlignment="1" applyProtection="1">
      <alignment horizontal="center" vertical="center"/>
      <protection locked="0"/>
    </xf>
    <xf numFmtId="9" fontId="9" fillId="6" borderId="23" xfId="7" applyFont="1" applyFill="1" applyBorder="1" applyAlignment="1" applyProtection="1">
      <alignment horizontal="center" vertical="center"/>
      <protection locked="0"/>
    </xf>
    <xf numFmtId="0" fontId="49" fillId="0" borderId="0" xfId="5" applyFont="1" applyAlignment="1" applyProtection="1">
      <alignment vertical="center"/>
      <protection locked="0"/>
    </xf>
    <xf numFmtId="0" fontId="49" fillId="0" borderId="0" xfId="5" applyFont="1" applyAlignment="1" applyProtection="1">
      <alignment horizontal="center" vertical="center"/>
      <protection locked="0"/>
    </xf>
    <xf numFmtId="167" fontId="49" fillId="0" borderId="0" xfId="4" applyNumberFormat="1" applyFont="1" applyAlignment="1" applyProtection="1">
      <alignment horizontal="center" vertical="center"/>
      <protection locked="0"/>
    </xf>
    <xf numFmtId="167" fontId="49" fillId="0" borderId="0" xfId="4" applyNumberFormat="1" applyFont="1" applyAlignment="1" applyProtection="1">
      <alignment vertical="center"/>
      <protection locked="0"/>
    </xf>
    <xf numFmtId="0" fontId="13" fillId="0" borderId="4" xfId="5" applyFont="1" applyBorder="1" applyAlignment="1" applyProtection="1">
      <alignment vertical="center"/>
      <protection hidden="1"/>
    </xf>
    <xf numFmtId="10" fontId="13" fillId="0" borderId="4" xfId="7" applyNumberFormat="1" applyFont="1" applyBorder="1" applyAlignment="1" applyProtection="1">
      <alignment horizontal="center" vertical="center"/>
      <protection hidden="1"/>
    </xf>
    <xf numFmtId="0" fontId="49" fillId="0" borderId="0" xfId="5" applyFont="1" applyAlignment="1" applyProtection="1">
      <alignment vertical="center"/>
      <protection hidden="1"/>
    </xf>
    <xf numFmtId="0" fontId="13" fillId="0" borderId="0" xfId="5" applyFont="1" applyAlignment="1" applyProtection="1">
      <alignment vertical="center"/>
      <protection hidden="1"/>
    </xf>
    <xf numFmtId="167" fontId="13" fillId="0" borderId="0" xfId="4" applyNumberFormat="1" applyFont="1" applyAlignment="1" applyProtection="1">
      <alignment horizontal="center" vertical="center"/>
      <protection hidden="1"/>
    </xf>
    <xf numFmtId="167" fontId="13" fillId="0" borderId="0" xfId="4" applyNumberFormat="1" applyFont="1" applyAlignment="1" applyProtection="1">
      <alignment vertical="center"/>
      <protection hidden="1"/>
    </xf>
    <xf numFmtId="0" fontId="27" fillId="0" borderId="0" xfId="5" applyFont="1" applyAlignment="1" applyProtection="1">
      <alignment vertical="center" wrapText="1"/>
      <protection locked="0"/>
    </xf>
    <xf numFmtId="0" fontId="27" fillId="0" borderId="0" xfId="5" applyFont="1" applyAlignment="1" applyProtection="1">
      <alignment horizontal="center" vertical="center" wrapText="1"/>
      <protection locked="0"/>
    </xf>
    <xf numFmtId="10" fontId="13" fillId="0" borderId="4" xfId="2" applyNumberFormat="1" applyFont="1" applyBorder="1" applyAlignment="1" applyProtection="1">
      <alignment horizontal="center" vertical="center" wrapText="1"/>
      <protection hidden="1"/>
    </xf>
    <xf numFmtId="10" fontId="13" fillId="0" borderId="0" xfId="5" applyNumberFormat="1" applyFont="1" applyAlignment="1" applyProtection="1">
      <alignment vertical="center"/>
      <protection hidden="1"/>
    </xf>
    <xf numFmtId="9" fontId="28" fillId="0" borderId="0" xfId="7" applyFont="1" applyAlignment="1" applyProtection="1">
      <alignment vertical="center" wrapText="1"/>
      <protection hidden="1"/>
    </xf>
    <xf numFmtId="167" fontId="27" fillId="0" borderId="0" xfId="4" applyNumberFormat="1" applyFont="1" applyAlignment="1" applyProtection="1">
      <alignment horizontal="center" vertical="center" wrapText="1"/>
      <protection hidden="1"/>
    </xf>
    <xf numFmtId="167" fontId="27" fillId="0" borderId="0" xfId="4" applyNumberFormat="1" applyFont="1" applyAlignment="1" applyProtection="1">
      <alignment vertical="center" wrapText="1"/>
      <protection hidden="1"/>
    </xf>
    <xf numFmtId="0" fontId="27" fillId="0" borderId="0" xfId="5" applyFont="1" applyAlignment="1" applyProtection="1">
      <alignment vertical="center" wrapText="1"/>
      <protection hidden="1"/>
    </xf>
    <xf numFmtId="169" fontId="27" fillId="0" borderId="0" xfId="4" applyNumberFormat="1" applyFont="1" applyAlignment="1" applyProtection="1">
      <alignment horizontal="center" vertical="center" wrapText="1"/>
      <protection locked="0"/>
    </xf>
    <xf numFmtId="169" fontId="27" fillId="0" borderId="0" xfId="4" applyNumberFormat="1" applyFont="1" applyAlignment="1" applyProtection="1">
      <alignment vertical="center" wrapText="1"/>
      <protection locked="0"/>
    </xf>
    <xf numFmtId="0" fontId="27" fillId="0" borderId="0" xfId="5" applyFont="1" applyAlignment="1" applyProtection="1">
      <alignment horizontal="center" vertical="center"/>
      <protection locked="0"/>
    </xf>
    <xf numFmtId="167" fontId="27" fillId="0" borderId="0" xfId="4" applyNumberFormat="1" applyFont="1" applyAlignment="1" applyProtection="1">
      <alignment horizontal="left" vertical="center"/>
      <protection locked="0"/>
    </xf>
    <xf numFmtId="9" fontId="27" fillId="0" borderId="0" xfId="2" applyFont="1" applyAlignment="1" applyProtection="1">
      <alignment horizontal="center" vertical="center"/>
    </xf>
    <xf numFmtId="171" fontId="27" fillId="0" borderId="0" xfId="5" applyNumberFormat="1" applyFont="1" applyAlignment="1" applyProtection="1">
      <alignment vertical="center"/>
      <protection locked="0"/>
    </xf>
    <xf numFmtId="167" fontId="13" fillId="0" borderId="0" xfId="4" applyNumberFormat="1" applyFont="1" applyBorder="1" applyAlignment="1" applyProtection="1">
      <alignment horizontal="center" vertical="center" wrapText="1"/>
      <protection locked="0"/>
    </xf>
    <xf numFmtId="0" fontId="47" fillId="6" borderId="9" xfId="0" applyFont="1" applyFill="1" applyBorder="1" applyAlignment="1" applyProtection="1">
      <alignment horizontal="justify" vertical="center" wrapText="1"/>
      <protection locked="0"/>
    </xf>
    <xf numFmtId="0" fontId="9" fillId="6" borderId="4" xfId="8" applyFont="1" applyFill="1" applyBorder="1" applyAlignment="1" applyProtection="1">
      <alignment horizontal="center" vertical="center" wrapText="1"/>
      <protection locked="0" hidden="1"/>
    </xf>
    <xf numFmtId="0" fontId="28" fillId="7" borderId="6" xfId="4" applyNumberFormat="1" applyFont="1" applyFill="1" applyBorder="1" applyAlignment="1" applyProtection="1">
      <alignment horizontal="center" vertical="center" wrapText="1"/>
    </xf>
    <xf numFmtId="0" fontId="28" fillId="7" borderId="7" xfId="4" applyNumberFormat="1" applyFont="1" applyFill="1" applyBorder="1" applyAlignment="1" applyProtection="1">
      <alignment horizontal="center" vertical="center" wrapText="1"/>
    </xf>
    <xf numFmtId="0" fontId="23" fillId="0" borderId="77" xfId="0" applyFont="1" applyBorder="1" applyAlignment="1" applyProtection="1">
      <alignment vertical="center"/>
      <protection locked="0" hidden="1"/>
    </xf>
    <xf numFmtId="0" fontId="41" fillId="0" borderId="77" xfId="0" applyFont="1" applyBorder="1" applyProtection="1">
      <protection locked="0" hidden="1"/>
    </xf>
    <xf numFmtId="0" fontId="27" fillId="0" borderId="0" xfId="5" applyFont="1" applyAlignment="1">
      <alignment vertical="center"/>
    </xf>
    <xf numFmtId="167" fontId="27" fillId="0" borderId="0" xfId="4" applyNumberFormat="1" applyFont="1" applyAlignment="1" applyProtection="1">
      <alignment horizontal="center" vertical="center"/>
    </xf>
    <xf numFmtId="167" fontId="27" fillId="0" borderId="0" xfId="4" applyNumberFormat="1" applyFont="1" applyAlignment="1" applyProtection="1">
      <alignment horizontal="left" vertical="center"/>
    </xf>
    <xf numFmtId="0" fontId="27" fillId="0" borderId="0" xfId="5" applyFont="1" applyAlignment="1">
      <alignment horizontal="center" vertical="center"/>
    </xf>
    <xf numFmtId="0" fontId="53" fillId="13" borderId="15" xfId="10" applyFont="1" applyFill="1" applyBorder="1" applyAlignment="1">
      <alignment vertical="center" wrapText="1"/>
    </xf>
    <xf numFmtId="0" fontId="14" fillId="0" borderId="0" xfId="9" applyFont="1" applyAlignment="1">
      <alignment vertical="center"/>
    </xf>
    <xf numFmtId="0" fontId="53" fillId="13" borderId="17" xfId="10" applyFont="1" applyFill="1" applyBorder="1" applyAlignment="1">
      <alignment vertical="center" wrapText="1"/>
    </xf>
    <xf numFmtId="0" fontId="53" fillId="13" borderId="33" xfId="10" applyFont="1" applyFill="1" applyBorder="1" applyAlignment="1">
      <alignment vertical="center" wrapText="1"/>
    </xf>
    <xf numFmtId="0" fontId="51" fillId="27" borderId="43" xfId="0" applyFont="1" applyFill="1" applyBorder="1" applyAlignment="1">
      <alignment horizontal="center" vertical="center" wrapText="1"/>
    </xf>
    <xf numFmtId="0" fontId="37" fillId="27" borderId="43" xfId="0" applyFont="1" applyFill="1" applyBorder="1" applyAlignment="1">
      <alignment horizontal="center" vertical="center" wrapText="1"/>
    </xf>
    <xf numFmtId="167" fontId="27" fillId="0" borderId="43" xfId="4" applyNumberFormat="1" applyFont="1" applyBorder="1" applyAlignment="1" applyProtection="1">
      <alignment horizontal="center" vertical="center"/>
    </xf>
    <xf numFmtId="0" fontId="53" fillId="13" borderId="13" xfId="10" applyFont="1" applyFill="1" applyBorder="1" applyAlignment="1">
      <alignment vertical="center" wrapText="1"/>
    </xf>
    <xf numFmtId="0" fontId="14" fillId="28" borderId="42" xfId="0" applyFont="1" applyFill="1" applyBorder="1" applyAlignment="1">
      <alignment vertical="center" wrapText="1"/>
    </xf>
    <xf numFmtId="0" fontId="40" fillId="28" borderId="42" xfId="0" applyFont="1" applyFill="1" applyBorder="1" applyAlignment="1">
      <alignment vertical="center"/>
    </xf>
    <xf numFmtId="0" fontId="14" fillId="0" borderId="42" xfId="0" applyFont="1" applyBorder="1" applyAlignment="1">
      <alignment vertical="center" wrapText="1"/>
    </xf>
    <xf numFmtId="0" fontId="40" fillId="0" borderId="42" xfId="0" applyFont="1" applyBorder="1" applyAlignment="1">
      <alignment vertical="center"/>
    </xf>
    <xf numFmtId="0" fontId="9" fillId="13" borderId="13" xfId="11" applyFill="1" applyBorder="1" applyAlignment="1">
      <alignment vertical="center" wrapText="1"/>
    </xf>
    <xf numFmtId="0" fontId="14" fillId="0" borderId="44" xfId="0" applyFont="1" applyBorder="1" applyAlignment="1">
      <alignment vertical="center" wrapText="1"/>
    </xf>
    <xf numFmtId="0" fontId="40" fillId="0" borderId="44" xfId="0" applyFont="1" applyBorder="1" applyAlignment="1">
      <alignment vertical="center"/>
    </xf>
    <xf numFmtId="0" fontId="9" fillId="13" borderId="17" xfId="11" applyFill="1" applyBorder="1" applyAlignment="1">
      <alignment vertical="center" wrapText="1"/>
    </xf>
    <xf numFmtId="0" fontId="53" fillId="13" borderId="23" xfId="10" applyFont="1" applyFill="1" applyBorder="1" applyAlignment="1">
      <alignment vertical="center" wrapText="1"/>
    </xf>
    <xf numFmtId="0" fontId="14" fillId="0" borderId="14" xfId="0" applyFont="1" applyBorder="1" applyProtection="1">
      <protection locked="0"/>
    </xf>
    <xf numFmtId="44" fontId="14" fillId="0" borderId="14" xfId="17" applyFont="1" applyBorder="1" applyProtection="1">
      <protection locked="0"/>
    </xf>
    <xf numFmtId="0" fontId="14" fillId="0" borderId="4" xfId="0" applyFont="1" applyBorder="1" applyProtection="1">
      <protection locked="0"/>
    </xf>
    <xf numFmtId="44" fontId="14" fillId="0" borderId="4" xfId="17" applyFont="1" applyBorder="1" applyProtection="1">
      <protection locked="0"/>
    </xf>
    <xf numFmtId="0" fontId="14" fillId="0" borderId="20" xfId="0" applyFont="1" applyBorder="1" applyProtection="1">
      <protection locked="0"/>
    </xf>
    <xf numFmtId="44" fontId="14" fillId="0" borderId="20" xfId="17" applyFont="1" applyBorder="1" applyProtection="1">
      <protection locked="0"/>
    </xf>
    <xf numFmtId="0" fontId="14" fillId="0" borderId="66" xfId="0" applyFont="1" applyBorder="1" applyProtection="1">
      <protection locked="0"/>
    </xf>
    <xf numFmtId="44" fontId="14" fillId="0" borderId="66" xfId="17" applyFont="1" applyBorder="1" applyProtection="1">
      <protection locked="0"/>
    </xf>
    <xf numFmtId="0" fontId="14" fillId="0" borderId="14" xfId="0" applyFont="1" applyBorder="1" applyAlignment="1" applyProtection="1">
      <alignment vertical="center"/>
      <protection locked="0"/>
    </xf>
    <xf numFmtId="44" fontId="14" fillId="0" borderId="60" xfId="17" applyFont="1" applyBorder="1" applyProtection="1">
      <protection locked="0"/>
    </xf>
    <xf numFmtId="0" fontId="14" fillId="0" borderId="4" xfId="0" applyFont="1" applyBorder="1" applyAlignment="1" applyProtection="1">
      <alignment vertical="center"/>
      <protection locked="0"/>
    </xf>
    <xf numFmtId="0" fontId="14" fillId="0" borderId="66" xfId="0" applyFont="1" applyBorder="1" applyAlignment="1" applyProtection="1">
      <alignment vertical="center"/>
      <protection locked="0"/>
    </xf>
    <xf numFmtId="44" fontId="14" fillId="0" borderId="63" xfId="17" applyFont="1" applyBorder="1" applyProtection="1">
      <protection locked="0"/>
    </xf>
    <xf numFmtId="44" fontId="14" fillId="0" borderId="64" xfId="17" applyFont="1" applyBorder="1" applyProtection="1">
      <protection locked="0"/>
    </xf>
    <xf numFmtId="44" fontId="14" fillId="0" borderId="67" xfId="17" applyFont="1" applyBorder="1" applyProtection="1">
      <protection locked="0"/>
    </xf>
    <xf numFmtId="44" fontId="14" fillId="0" borderId="63" xfId="17" applyFont="1" applyBorder="1" applyAlignment="1" applyProtection="1">
      <alignment vertical="center"/>
      <protection locked="0"/>
    </xf>
    <xf numFmtId="44" fontId="14" fillId="0" borderId="63" xfId="17" applyFont="1" applyFill="1" applyBorder="1" applyAlignment="1" applyProtection="1">
      <alignment vertical="center"/>
      <protection locked="0"/>
    </xf>
    <xf numFmtId="165" fontId="14" fillId="0" borderId="63" xfId="1" applyFont="1" applyBorder="1" applyProtection="1">
      <protection locked="0"/>
    </xf>
    <xf numFmtId="0" fontId="14" fillId="0" borderId="62" xfId="0" applyFont="1" applyBorder="1" applyAlignment="1" applyProtection="1">
      <alignment horizontal="center"/>
      <protection locked="0"/>
    </xf>
    <xf numFmtId="0" fontId="14" fillId="0" borderId="75" xfId="0" applyFont="1" applyBorder="1" applyAlignment="1" applyProtection="1">
      <alignment horizontal="center"/>
      <protection locked="0"/>
    </xf>
    <xf numFmtId="0" fontId="14" fillId="0" borderId="65" xfId="0" applyFont="1" applyBorder="1" applyAlignment="1" applyProtection="1">
      <alignment horizontal="center"/>
      <protection locked="0"/>
    </xf>
    <xf numFmtId="164" fontId="25" fillId="0" borderId="63" xfId="14" applyFont="1" applyBorder="1" applyAlignment="1" applyProtection="1">
      <alignment horizontal="center" vertical="center"/>
    </xf>
    <xf numFmtId="164" fontId="25" fillId="0" borderId="64" xfId="14" applyFont="1" applyBorder="1" applyAlignment="1" applyProtection="1">
      <alignment horizontal="center" vertical="center"/>
    </xf>
    <xf numFmtId="164" fontId="11" fillId="13" borderId="58" xfId="12" applyNumberFormat="1" applyFont="1" applyFill="1" applyBorder="1" applyAlignment="1" applyProtection="1">
      <alignment horizontal="left" vertical="center" wrapText="1"/>
    </xf>
    <xf numFmtId="0" fontId="23" fillId="22" borderId="20" xfId="12" applyFont="1" applyBorder="1" applyAlignment="1" applyProtection="1">
      <alignment horizontal="center" vertical="center" wrapText="1"/>
      <protection hidden="1"/>
    </xf>
    <xf numFmtId="9" fontId="47" fillId="8" borderId="16" xfId="2" applyFont="1" applyFill="1" applyBorder="1" applyAlignment="1" applyProtection="1">
      <alignment horizontal="center" vertical="center" wrapText="1"/>
      <protection locked="0"/>
    </xf>
    <xf numFmtId="9" fontId="47" fillId="8" borderId="4" xfId="2" applyFont="1" applyFill="1" applyBorder="1" applyAlignment="1" applyProtection="1">
      <alignment horizontal="center" vertical="center" wrapText="1"/>
      <protection locked="0"/>
    </xf>
    <xf numFmtId="9" fontId="47" fillId="8" borderId="17" xfId="2" applyFont="1" applyFill="1" applyBorder="1" applyAlignment="1" applyProtection="1">
      <alignment horizontal="center" vertical="center" wrapText="1"/>
      <protection locked="0"/>
    </xf>
    <xf numFmtId="0" fontId="14" fillId="0" borderId="0" xfId="0" applyFont="1" applyAlignment="1" applyProtection="1">
      <alignment horizontal="left" wrapText="1"/>
      <protection hidden="1"/>
    </xf>
    <xf numFmtId="0" fontId="22" fillId="0" borderId="0" xfId="0" applyFont="1" applyAlignment="1" applyProtection="1">
      <alignment horizontal="center" vertical="center"/>
      <protection hidden="1"/>
    </xf>
    <xf numFmtId="0" fontId="47" fillId="11" borderId="0" xfId="0" applyFont="1" applyFill="1" applyAlignment="1" applyProtection="1">
      <alignment vertical="center"/>
      <protection hidden="1"/>
    </xf>
    <xf numFmtId="0" fontId="25" fillId="0" borderId="4" xfId="0" applyFont="1" applyBorder="1" applyAlignment="1">
      <alignment wrapText="1"/>
    </xf>
    <xf numFmtId="0" fontId="25" fillId="0" borderId="0" xfId="0" applyFont="1" applyAlignment="1">
      <alignment wrapText="1"/>
    </xf>
    <xf numFmtId="0" fontId="62" fillId="0" borderId="0" xfId="0" applyFont="1"/>
    <xf numFmtId="0" fontId="62" fillId="0" borderId="42" xfId="0" applyFont="1" applyBorder="1"/>
    <xf numFmtId="0" fontId="62" fillId="0" borderId="0" xfId="0" applyFont="1" applyAlignment="1">
      <alignment horizontal="center" vertical="center"/>
    </xf>
    <xf numFmtId="0" fontId="0" fillId="0" borderId="0" xfId="0" applyAlignment="1">
      <alignment horizontal="center" vertical="center"/>
    </xf>
    <xf numFmtId="0" fontId="19" fillId="42" borderId="4" xfId="0" applyFont="1" applyFill="1" applyBorder="1" applyAlignment="1">
      <alignment horizontal="center" vertical="center"/>
    </xf>
    <xf numFmtId="0" fontId="27" fillId="13" borderId="4" xfId="0" applyFont="1" applyFill="1" applyBorder="1" applyAlignment="1" applyProtection="1">
      <alignment horizontal="left" vertical="center" wrapText="1"/>
      <protection hidden="1"/>
    </xf>
    <xf numFmtId="0" fontId="27" fillId="20" borderId="0" xfId="0" applyFont="1" applyFill="1" applyAlignment="1" applyProtection="1">
      <alignment horizontal="right" vertical="center" wrapText="1"/>
      <protection hidden="1"/>
    </xf>
    <xf numFmtId="0" fontId="63" fillId="20" borderId="0" xfId="0" applyFont="1" applyFill="1"/>
    <xf numFmtId="9" fontId="62" fillId="0" borderId="89" xfId="2" applyFont="1" applyBorder="1"/>
    <xf numFmtId="9" fontId="62" fillId="0" borderId="90" xfId="2" applyFont="1" applyBorder="1"/>
    <xf numFmtId="167" fontId="64" fillId="31" borderId="4" xfId="24" applyNumberFormat="1" applyFont="1" applyFill="1" applyBorder="1" applyAlignment="1">
      <alignment horizontal="center" vertical="center"/>
    </xf>
    <xf numFmtId="9" fontId="47" fillId="0" borderId="4" xfId="2" applyFont="1" applyBorder="1" applyAlignment="1" applyProtection="1">
      <alignment horizontal="center" vertical="center"/>
      <protection hidden="1"/>
    </xf>
    <xf numFmtId="0" fontId="27" fillId="13" borderId="0" xfId="0" applyFont="1" applyFill="1" applyAlignment="1" applyProtection="1">
      <alignment horizontal="left" vertical="center" wrapText="1"/>
      <protection hidden="1"/>
    </xf>
    <xf numFmtId="0" fontId="63" fillId="20" borderId="0" xfId="0" applyFont="1" applyFill="1" applyAlignment="1">
      <alignment horizontal="center"/>
    </xf>
    <xf numFmtId="0" fontId="47" fillId="0" borderId="0" xfId="0" applyFont="1" applyAlignment="1" applyProtection="1">
      <alignment vertical="center"/>
      <protection hidden="1"/>
    </xf>
    <xf numFmtId="167" fontId="64" fillId="5" borderId="4" xfId="24" applyNumberFormat="1" applyFont="1" applyFill="1" applyBorder="1" applyAlignment="1">
      <alignment horizontal="center" vertical="center"/>
    </xf>
    <xf numFmtId="0" fontId="14" fillId="20" borderId="0" xfId="0" applyFont="1" applyFill="1"/>
    <xf numFmtId="0" fontId="62" fillId="0" borderId="44" xfId="0" applyFont="1" applyBorder="1"/>
    <xf numFmtId="9" fontId="62" fillId="0" borderId="91" xfId="2" applyFont="1" applyBorder="1"/>
    <xf numFmtId="9" fontId="62" fillId="0" borderId="91" xfId="2" applyFont="1" applyBorder="1" applyAlignment="1">
      <alignment horizontal="right"/>
    </xf>
    <xf numFmtId="41" fontId="62" fillId="0" borderId="0" xfId="19" applyFont="1" applyFill="1" applyBorder="1"/>
    <xf numFmtId="0" fontId="14" fillId="0" borderId="4" xfId="0" applyFont="1" applyBorder="1"/>
    <xf numFmtId="0" fontId="62" fillId="0" borderId="89" xfId="0" applyFont="1" applyBorder="1"/>
    <xf numFmtId="0" fontId="65" fillId="29" borderId="45" xfId="25" applyFont="1" applyFill="1" applyBorder="1" applyAlignment="1" applyProtection="1">
      <alignment vertical="center" wrapText="1"/>
      <protection hidden="1"/>
    </xf>
    <xf numFmtId="0" fontId="65" fillId="29" borderId="0" xfId="25" applyFont="1" applyFill="1" applyBorder="1" applyAlignment="1" applyProtection="1">
      <alignment vertical="center" wrapText="1"/>
      <protection hidden="1"/>
    </xf>
    <xf numFmtId="0" fontId="14" fillId="0" borderId="89" xfId="0" applyFont="1" applyBorder="1"/>
    <xf numFmtId="9" fontId="62" fillId="0" borderId="0" xfId="2" applyFont="1"/>
    <xf numFmtId="0" fontId="14" fillId="20" borderId="89" xfId="0" applyFont="1" applyFill="1" applyBorder="1" applyAlignment="1">
      <alignment wrapText="1"/>
    </xf>
    <xf numFmtId="0" fontId="14" fillId="20" borderId="0" xfId="0" applyFont="1" applyFill="1" applyAlignment="1">
      <alignment wrapText="1"/>
    </xf>
    <xf numFmtId="0" fontId="62" fillId="0" borderId="91" xfId="0" applyFont="1" applyBorder="1"/>
    <xf numFmtId="9" fontId="62" fillId="0" borderId="92" xfId="2" applyFont="1" applyBorder="1"/>
    <xf numFmtId="0" fontId="14" fillId="0" borderId="0" xfId="0" applyFont="1" applyAlignment="1">
      <alignment wrapText="1"/>
    </xf>
    <xf numFmtId="0" fontId="62" fillId="0" borderId="0" xfId="0" applyFont="1" applyAlignment="1">
      <alignment horizontal="left"/>
    </xf>
    <xf numFmtId="9" fontId="62" fillId="0" borderId="0" xfId="2" applyFont="1" applyAlignment="1">
      <alignment horizontal="left"/>
    </xf>
    <xf numFmtId="0" fontId="62" fillId="28" borderId="89" xfId="0" applyFont="1" applyFill="1" applyBorder="1"/>
    <xf numFmtId="0" fontId="14" fillId="20" borderId="89" xfId="0" applyFont="1" applyFill="1" applyBorder="1" applyAlignment="1">
      <alignment vertical="center" wrapText="1"/>
    </xf>
    <xf numFmtId="0" fontId="14" fillId="20" borderId="0" xfId="0" applyFont="1" applyFill="1" applyAlignment="1">
      <alignment vertical="center" wrapText="1"/>
    </xf>
    <xf numFmtId="0" fontId="14" fillId="0" borderId="0" xfId="0" applyFont="1" applyAlignment="1">
      <alignment vertical="center"/>
    </xf>
    <xf numFmtId="0" fontId="14" fillId="20" borderId="0" xfId="0" applyFont="1" applyFill="1" applyAlignment="1">
      <alignment vertical="center"/>
    </xf>
    <xf numFmtId="0" fontId="14" fillId="0" borderId="0" xfId="0" applyFont="1" applyAlignment="1">
      <alignment horizontal="left" vertical="center" wrapText="1"/>
    </xf>
    <xf numFmtId="0" fontId="14" fillId="28" borderId="89" xfId="0" applyFont="1" applyFill="1" applyBorder="1"/>
    <xf numFmtId="0" fontId="14" fillId="28" borderId="42" xfId="0" applyFont="1" applyFill="1" applyBorder="1"/>
    <xf numFmtId="0" fontId="14" fillId="20" borderId="42" xfId="0" applyFont="1" applyFill="1" applyBorder="1"/>
    <xf numFmtId="0" fontId="14" fillId="0" borderId="42" xfId="0" applyFont="1" applyBorder="1"/>
    <xf numFmtId="0" fontId="14" fillId="28" borderId="0" xfId="0" applyFont="1" applyFill="1"/>
    <xf numFmtId="0" fontId="66" fillId="0" borderId="0" xfId="0" applyFont="1"/>
    <xf numFmtId="0" fontId="14"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14" fillId="0" borderId="0" xfId="0" applyFont="1" applyAlignment="1" applyProtection="1">
      <alignment horizontal="left"/>
      <protection hidden="1"/>
    </xf>
    <xf numFmtId="0" fontId="14" fillId="0" borderId="33" xfId="0" applyFont="1" applyBorder="1" applyAlignment="1" applyProtection="1">
      <alignment horizontal="right"/>
      <protection hidden="1"/>
    </xf>
    <xf numFmtId="9" fontId="14" fillId="0" borderId="0" xfId="0" applyNumberFormat="1" applyFont="1" applyProtection="1">
      <protection hidden="1"/>
    </xf>
    <xf numFmtId="0" fontId="14" fillId="0" borderId="13" xfId="0" applyFont="1" applyBorder="1" applyProtection="1">
      <protection locked="0"/>
    </xf>
    <xf numFmtId="0" fontId="25" fillId="13" borderId="0" xfId="0" applyFont="1" applyFill="1" applyAlignment="1" applyProtection="1">
      <alignment horizontal="center"/>
      <protection hidden="1"/>
    </xf>
    <xf numFmtId="0" fontId="47" fillId="0" borderId="0" xfId="0" applyFont="1" applyAlignment="1" applyProtection="1">
      <alignment vertical="center"/>
      <protection locked="0"/>
    </xf>
    <xf numFmtId="177" fontId="14" fillId="0" borderId="0" xfId="17" applyNumberFormat="1" applyFont="1" applyProtection="1">
      <protection hidden="1"/>
    </xf>
    <xf numFmtId="0" fontId="47" fillId="0" borderId="4" xfId="0" applyFont="1" applyBorder="1" applyAlignment="1" applyProtection="1">
      <alignment vertical="center"/>
      <protection hidden="1"/>
    </xf>
    <xf numFmtId="0" fontId="47" fillId="0" borderId="4" xfId="0" applyFont="1" applyBorder="1" applyAlignment="1" applyProtection="1">
      <alignment horizontal="left" vertical="center"/>
      <protection hidden="1"/>
    </xf>
    <xf numFmtId="0" fontId="54" fillId="0" borderId="0" xfId="0" applyFont="1" applyAlignment="1" applyProtection="1">
      <alignment horizontal="center" vertical="center"/>
      <protection locked="0"/>
    </xf>
    <xf numFmtId="0" fontId="47" fillId="0" borderId="0" xfId="0" applyFont="1" applyAlignment="1" applyProtection="1">
      <alignment horizontal="left" vertical="center"/>
      <protection hidden="1"/>
    </xf>
    <xf numFmtId="0" fontId="54" fillId="0" borderId="0" xfId="0" applyFont="1" applyAlignment="1" applyProtection="1">
      <alignment vertical="center"/>
      <protection locked="0"/>
    </xf>
    <xf numFmtId="0" fontId="35" fillId="0" borderId="0" xfId="0" applyFont="1" applyAlignment="1" applyProtection="1">
      <alignment vertical="center"/>
      <protection hidden="1"/>
    </xf>
    <xf numFmtId="0" fontId="47" fillId="0" borderId="0" xfId="0" applyFont="1" applyAlignment="1">
      <alignment vertical="center"/>
    </xf>
    <xf numFmtId="0" fontId="47" fillId="0" borderId="0" xfId="0" applyFont="1" applyAlignment="1">
      <alignment horizontal="center" vertical="center"/>
    </xf>
    <xf numFmtId="0" fontId="74" fillId="13" borderId="4" xfId="0" applyFont="1" applyFill="1" applyBorder="1" applyAlignment="1" applyProtection="1">
      <alignment horizontal="center" vertical="center" wrapText="1"/>
      <protection hidden="1"/>
    </xf>
    <xf numFmtId="0" fontId="65" fillId="13" borderId="4" xfId="0" applyFont="1" applyFill="1" applyBorder="1" applyAlignment="1" applyProtection="1">
      <alignment horizontal="center" vertical="center" wrapText="1"/>
      <protection hidden="1"/>
    </xf>
    <xf numFmtId="0" fontId="35" fillId="13" borderId="4" xfId="0" applyFont="1" applyFill="1" applyBorder="1" applyAlignment="1" applyProtection="1">
      <alignment horizontal="center" vertical="center" wrapText="1"/>
      <protection hidden="1"/>
    </xf>
    <xf numFmtId="0" fontId="47" fillId="13" borderId="0" xfId="0" applyFont="1" applyFill="1" applyAlignment="1" applyProtection="1">
      <alignment horizontal="center" vertical="center"/>
      <protection hidden="1"/>
    </xf>
    <xf numFmtId="0" fontId="35" fillId="13" borderId="0" xfId="0" applyFont="1" applyFill="1" applyAlignment="1" applyProtection="1">
      <alignment horizontal="center" vertical="center" wrapText="1"/>
      <protection hidden="1"/>
    </xf>
    <xf numFmtId="0" fontId="47" fillId="36" borderId="4" xfId="0" applyFont="1" applyFill="1" applyBorder="1" applyAlignment="1" applyProtection="1">
      <alignment vertical="center"/>
      <protection locked="0" hidden="1"/>
    </xf>
    <xf numFmtId="0" fontId="47" fillId="13" borderId="0" xfId="0" applyFont="1" applyFill="1" applyAlignment="1" applyProtection="1">
      <alignment vertical="center"/>
      <protection locked="0" hidden="1"/>
    </xf>
    <xf numFmtId="0" fontId="47" fillId="13" borderId="0" xfId="0" applyFont="1" applyFill="1" applyAlignment="1">
      <alignment horizontal="center" vertical="center"/>
    </xf>
    <xf numFmtId="0" fontId="9" fillId="0" borderId="4" xfId="0" applyFont="1" applyBorder="1" applyAlignment="1" applyProtection="1">
      <alignment horizontal="center" vertical="center"/>
      <protection hidden="1"/>
    </xf>
    <xf numFmtId="0" fontId="47" fillId="0" borderId="0" xfId="0" applyFont="1" applyAlignment="1" applyProtection="1">
      <alignment vertical="center"/>
      <protection locked="0" hidden="1"/>
    </xf>
    <xf numFmtId="0" fontId="47" fillId="13" borderId="0" xfId="0" applyFont="1" applyFill="1" applyAlignment="1" applyProtection="1">
      <alignment vertical="center"/>
      <protection hidden="1"/>
    </xf>
    <xf numFmtId="0" fontId="47" fillId="13" borderId="0" xfId="0" applyFont="1" applyFill="1" applyAlignment="1">
      <alignment vertical="center"/>
    </xf>
    <xf numFmtId="0" fontId="47" fillId="0" borderId="0" xfId="0" applyFont="1" applyAlignment="1" applyProtection="1">
      <alignment vertical="center" wrapText="1"/>
      <protection hidden="1"/>
    </xf>
    <xf numFmtId="0" fontId="35" fillId="13" borderId="0" xfId="0" applyFont="1" applyFill="1" applyAlignment="1" applyProtection="1">
      <alignment vertical="center"/>
      <protection hidden="1"/>
    </xf>
    <xf numFmtId="0" fontId="75" fillId="13" borderId="0" xfId="0" applyFont="1" applyFill="1" applyAlignment="1" applyProtection="1">
      <alignment vertical="center"/>
      <protection hidden="1"/>
    </xf>
    <xf numFmtId="0" fontId="35" fillId="13" borderId="0" xfId="0" applyFont="1" applyFill="1" applyAlignment="1" applyProtection="1">
      <alignment vertical="center" wrapText="1"/>
      <protection hidden="1"/>
    </xf>
    <xf numFmtId="0" fontId="35" fillId="13" borderId="0" xfId="0" applyFont="1" applyFill="1" applyAlignment="1" applyProtection="1">
      <alignment horizontal="center" vertical="center"/>
      <protection hidden="1"/>
    </xf>
    <xf numFmtId="0" fontId="35" fillId="0" borderId="14" xfId="0" applyFont="1" applyBorder="1" applyAlignment="1" applyProtection="1">
      <alignment horizontal="center" vertical="center"/>
      <protection hidden="1"/>
    </xf>
    <xf numFmtId="0" fontId="47" fillId="13" borderId="0" xfId="0" applyFont="1" applyFill="1" applyAlignment="1" applyProtection="1">
      <alignment vertical="center" wrapText="1"/>
      <protection hidden="1"/>
    </xf>
    <xf numFmtId="0" fontId="47" fillId="0" borderId="4" xfId="0" applyFont="1" applyBorder="1" applyAlignment="1" applyProtection="1">
      <alignment horizontal="center" vertical="center"/>
      <protection hidden="1"/>
    </xf>
    <xf numFmtId="0" fontId="47"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10" fontId="47" fillId="0" borderId="0" xfId="0" applyNumberFormat="1" applyFont="1" applyAlignment="1" applyProtection="1">
      <alignment vertical="center"/>
      <protection hidden="1"/>
    </xf>
    <xf numFmtId="10" fontId="47" fillId="13" borderId="0" xfId="0" applyNumberFormat="1" applyFont="1" applyFill="1" applyAlignment="1" applyProtection="1">
      <alignment vertical="center"/>
      <protection hidden="1"/>
    </xf>
    <xf numFmtId="0" fontId="19" fillId="13" borderId="0" xfId="0" applyFont="1" applyFill="1" applyAlignment="1" applyProtection="1">
      <alignment vertical="center"/>
      <protection hidden="1"/>
    </xf>
    <xf numFmtId="0" fontId="76" fillId="13" borderId="0" xfId="0" applyFont="1" applyFill="1" applyAlignment="1" applyProtection="1">
      <alignment horizontal="center" vertical="center"/>
      <protection hidden="1"/>
    </xf>
    <xf numFmtId="0" fontId="76" fillId="13" borderId="4" xfId="0" applyFont="1" applyFill="1" applyBorder="1" applyAlignment="1" applyProtection="1">
      <alignment horizontal="center" vertical="center" wrapText="1"/>
      <protection hidden="1"/>
    </xf>
    <xf numFmtId="0" fontId="35" fillId="20" borderId="4" xfId="0" applyFont="1" applyFill="1" applyBorder="1" applyAlignment="1" applyProtection="1">
      <alignment horizontal="center" vertical="center"/>
      <protection hidden="1"/>
    </xf>
    <xf numFmtId="0" fontId="35" fillId="30" borderId="4" xfId="0" applyFont="1" applyFill="1" applyBorder="1" applyAlignment="1" applyProtection="1">
      <alignment horizontal="center" vertical="center"/>
      <protection hidden="1"/>
    </xf>
    <xf numFmtId="0" fontId="35" fillId="16" borderId="4" xfId="0" applyFont="1" applyFill="1" applyBorder="1" applyAlignment="1" applyProtection="1">
      <alignment horizontal="center" vertical="center"/>
      <protection hidden="1"/>
    </xf>
    <xf numFmtId="0" fontId="47" fillId="0" borderId="0" xfId="0" applyFont="1" applyAlignment="1" applyProtection="1">
      <alignment horizontal="justify" vertical="center"/>
      <protection hidden="1"/>
    </xf>
    <xf numFmtId="170" fontId="47" fillId="0" borderId="0" xfId="0" applyNumberFormat="1" applyFont="1" applyAlignment="1">
      <alignment horizontal="center" vertical="center"/>
    </xf>
    <xf numFmtId="0" fontId="35" fillId="11" borderId="4" xfId="0" applyFont="1" applyFill="1" applyBorder="1" applyAlignment="1" applyProtection="1">
      <alignment horizontal="center" vertical="center"/>
      <protection hidden="1"/>
    </xf>
    <xf numFmtId="0" fontId="74" fillId="11" borderId="4" xfId="0" applyFont="1" applyFill="1" applyBorder="1" applyAlignment="1" applyProtection="1">
      <alignment horizontal="center" vertical="center"/>
      <protection hidden="1"/>
    </xf>
    <xf numFmtId="0" fontId="35" fillId="11" borderId="4" xfId="0" applyFont="1" applyFill="1" applyBorder="1" applyAlignment="1" applyProtection="1">
      <alignment horizontal="center" vertical="center" wrapText="1"/>
      <protection hidden="1"/>
    </xf>
    <xf numFmtId="0" fontId="76" fillId="36" borderId="4" xfId="0" applyFont="1" applyFill="1" applyBorder="1" applyAlignment="1" applyProtection="1">
      <alignment horizontal="center" vertical="center"/>
      <protection hidden="1"/>
    </xf>
    <xf numFmtId="10" fontId="74" fillId="36" borderId="4" xfId="2" applyNumberFormat="1" applyFont="1" applyFill="1" applyBorder="1" applyAlignment="1" applyProtection="1">
      <alignment horizontal="center" vertical="center"/>
      <protection hidden="1"/>
    </xf>
    <xf numFmtId="0" fontId="35" fillId="29" borderId="4" xfId="0" applyFont="1" applyFill="1" applyBorder="1" applyAlignment="1" applyProtection="1">
      <alignment horizontal="justify" vertical="center"/>
      <protection hidden="1"/>
    </xf>
    <xf numFmtId="0" fontId="35" fillId="13" borderId="4" xfId="0" applyFont="1" applyFill="1" applyBorder="1" applyAlignment="1" applyProtection="1">
      <alignment horizontal="center" vertical="center"/>
      <protection hidden="1"/>
    </xf>
    <xf numFmtId="10" fontId="35" fillId="0" borderId="4" xfId="0" applyNumberFormat="1" applyFont="1" applyBorder="1" applyAlignment="1" applyProtection="1">
      <alignment horizontal="center" vertical="center" wrapText="1"/>
      <protection hidden="1"/>
    </xf>
    <xf numFmtId="0" fontId="35" fillId="0" borderId="4" xfId="0" applyFont="1" applyBorder="1" applyAlignment="1" applyProtection="1">
      <alignment horizontal="center" vertical="center" wrapText="1"/>
      <protection hidden="1"/>
    </xf>
    <xf numFmtId="9" fontId="35" fillId="0" borderId="4" xfId="0" applyNumberFormat="1" applyFont="1" applyBorder="1" applyAlignment="1" applyProtection="1">
      <alignment horizontal="justify" vertical="center"/>
      <protection hidden="1"/>
    </xf>
    <xf numFmtId="164" fontId="47" fillId="0" borderId="4" xfId="26" applyNumberFormat="1" applyFont="1" applyBorder="1" applyAlignment="1" applyProtection="1">
      <alignment vertical="center"/>
      <protection locked="0"/>
    </xf>
    <xf numFmtId="170" fontId="47" fillId="0" borderId="4" xfId="0" applyNumberFormat="1" applyFont="1" applyBorder="1" applyAlignment="1" applyProtection="1">
      <alignment horizontal="center" vertical="center"/>
      <protection locked="0"/>
    </xf>
    <xf numFmtId="175" fontId="35" fillId="0" borderId="4" xfId="26" applyNumberFormat="1" applyFont="1" applyFill="1" applyBorder="1" applyAlignment="1" applyProtection="1">
      <alignment horizontal="center" vertical="center"/>
      <protection hidden="1"/>
    </xf>
    <xf numFmtId="10" fontId="47" fillId="0" borderId="4" xfId="0" applyNumberFormat="1" applyFont="1" applyBorder="1" applyAlignment="1" applyProtection="1">
      <alignment horizontal="center" vertical="center"/>
      <protection hidden="1"/>
    </xf>
    <xf numFmtId="170" fontId="47" fillId="0" borderId="4" xfId="0" applyNumberFormat="1" applyFont="1" applyBorder="1" applyAlignment="1" applyProtection="1">
      <alignment horizontal="center" vertical="center"/>
      <protection hidden="1"/>
    </xf>
    <xf numFmtId="9" fontId="47" fillId="0" borderId="4" xfId="0" applyNumberFormat="1" applyFont="1" applyBorder="1" applyAlignment="1" applyProtection="1">
      <alignment horizontal="center" vertical="center"/>
      <protection hidden="1"/>
    </xf>
    <xf numFmtId="0" fontId="35" fillId="0" borderId="4" xfId="0" applyFont="1" applyBorder="1" applyAlignment="1" applyProtection="1">
      <alignment horizontal="center" vertical="center"/>
      <protection locked="0" hidden="1"/>
    </xf>
    <xf numFmtId="175" fontId="35" fillId="0" borderId="4" xfId="26" applyNumberFormat="1" applyFont="1" applyFill="1" applyBorder="1" applyAlignment="1" applyProtection="1">
      <alignment vertical="center"/>
      <protection hidden="1"/>
    </xf>
    <xf numFmtId="175" fontId="47" fillId="0" borderId="4" xfId="0" applyNumberFormat="1" applyFont="1" applyBorder="1" applyAlignment="1" applyProtection="1">
      <alignment vertical="center"/>
      <protection hidden="1"/>
    </xf>
    <xf numFmtId="175" fontId="47" fillId="0" borderId="4" xfId="0" applyNumberFormat="1" applyFont="1" applyBorder="1" applyAlignment="1" applyProtection="1">
      <alignment horizontal="center" vertical="center"/>
      <protection hidden="1"/>
    </xf>
    <xf numFmtId="0" fontId="0" fillId="0" borderId="0" xfId="0" applyAlignment="1" applyProtection="1">
      <alignment vertical="center"/>
      <protection hidden="1"/>
    </xf>
    <xf numFmtId="0" fontId="77" fillId="13" borderId="0" xfId="0" applyFont="1" applyFill="1" applyAlignment="1" applyProtection="1">
      <alignment vertical="center"/>
      <protection hidden="1"/>
    </xf>
    <xf numFmtId="0" fontId="0" fillId="0" borderId="0" xfId="0" applyProtection="1">
      <protection locked="0"/>
    </xf>
    <xf numFmtId="0" fontId="0" fillId="0" borderId="0" xfId="0" applyAlignment="1" applyProtection="1">
      <alignment horizontal="center" vertical="center"/>
      <protection hidden="1"/>
    </xf>
    <xf numFmtId="0" fontId="0" fillId="0" borderId="0" xfId="0" applyAlignment="1" applyProtection="1">
      <alignment horizontal="right"/>
      <protection hidden="1"/>
    </xf>
    <xf numFmtId="0" fontId="78" fillId="13" borderId="0" xfId="0" applyFont="1" applyFill="1" applyAlignment="1" applyProtection="1">
      <alignment vertical="center"/>
      <protection hidden="1"/>
    </xf>
    <xf numFmtId="0" fontId="79" fillId="45" borderId="4" xfId="0" applyFont="1" applyFill="1" applyBorder="1" applyAlignment="1">
      <alignment horizontal="center" vertical="center"/>
    </xf>
    <xf numFmtId="0" fontId="0" fillId="0" borderId="0" xfId="0" applyAlignment="1" applyProtection="1">
      <alignment horizontal="center"/>
      <protection locked="0"/>
    </xf>
    <xf numFmtId="0" fontId="0" fillId="0" borderId="0" xfId="0" applyAlignment="1" applyProtection="1">
      <alignment horizontal="right"/>
      <protection locked="0"/>
    </xf>
    <xf numFmtId="0" fontId="78" fillId="13" borderId="0" xfId="0" applyFont="1" applyFill="1" applyAlignment="1" applyProtection="1">
      <alignment horizontal="center" vertical="center"/>
      <protection hidden="1"/>
    </xf>
    <xf numFmtId="0" fontId="79" fillId="20" borderId="4" xfId="0" applyFont="1" applyFill="1" applyBorder="1" applyAlignment="1">
      <alignment horizontal="center" vertical="center"/>
    </xf>
    <xf numFmtId="9" fontId="78" fillId="13" borderId="0" xfId="2" applyFont="1" applyFill="1" applyAlignment="1" applyProtection="1">
      <alignment horizontal="center" vertical="center"/>
      <protection hidden="1"/>
    </xf>
    <xf numFmtId="173" fontId="0" fillId="13" borderId="0" xfId="0" applyNumberFormat="1" applyFill="1" applyAlignment="1" applyProtection="1">
      <alignment horizontal="left" vertical="center"/>
      <protection hidden="1"/>
    </xf>
    <xf numFmtId="2" fontId="0" fillId="0" borderId="0" xfId="0" applyNumberFormat="1" applyAlignment="1" applyProtection="1">
      <alignment horizontal="center" vertical="center"/>
      <protection hidden="1"/>
    </xf>
    <xf numFmtId="173" fontId="77" fillId="13" borderId="0" xfId="0" applyNumberFormat="1" applyFont="1" applyFill="1" applyAlignment="1" applyProtection="1">
      <alignment vertical="center"/>
      <protection hidden="1"/>
    </xf>
    <xf numFmtId="10" fontId="72" fillId="13" borderId="0" xfId="0" applyNumberFormat="1" applyFont="1" applyFill="1" applyAlignment="1" applyProtection="1">
      <alignment vertical="center"/>
      <protection hidden="1"/>
    </xf>
    <xf numFmtId="0" fontId="72" fillId="13" borderId="0" xfId="0" applyFont="1" applyFill="1" applyAlignment="1" applyProtection="1">
      <alignment vertical="center"/>
      <protection hidden="1"/>
    </xf>
    <xf numFmtId="0" fontId="0" fillId="0" borderId="0" xfId="0" applyAlignment="1" applyProtection="1">
      <alignment horizontal="left" vertical="center"/>
      <protection hidden="1"/>
    </xf>
    <xf numFmtId="2" fontId="80" fillId="13" borderId="0" xfId="0" applyNumberFormat="1" applyFont="1" applyFill="1" applyAlignment="1" applyProtection="1">
      <alignment vertical="center" wrapText="1"/>
      <protection hidden="1"/>
    </xf>
    <xf numFmtId="0" fontId="81" fillId="13" borderId="0" xfId="0" applyFont="1" applyFill="1" applyAlignment="1" applyProtection="1">
      <alignment vertical="center" wrapText="1"/>
      <protection hidden="1"/>
    </xf>
    <xf numFmtId="0" fontId="82" fillId="21" borderId="4" xfId="0" applyFont="1" applyFill="1" applyBorder="1" applyAlignment="1">
      <alignment horizontal="center" vertical="center"/>
    </xf>
    <xf numFmtId="0" fontId="59" fillId="0" borderId="0" xfId="0" applyFont="1" applyAlignment="1" applyProtection="1">
      <alignment vertical="center"/>
      <protection hidden="1"/>
    </xf>
    <xf numFmtId="0" fontId="0" fillId="0" borderId="0" xfId="0" applyAlignment="1">
      <alignment vertical="center"/>
    </xf>
    <xf numFmtId="0" fontId="83" fillId="0" borderId="0" xfId="0" applyFont="1" applyAlignment="1">
      <alignment horizontal="center" vertical="center"/>
    </xf>
    <xf numFmtId="0" fontId="77" fillId="0" borderId="0" xfId="0" applyFont="1" applyAlignment="1" applyProtection="1">
      <alignment vertical="center"/>
      <protection hidden="1"/>
    </xf>
    <xf numFmtId="0" fontId="85" fillId="0" borderId="0" xfId="0" applyFont="1" applyAlignment="1" applyProtection="1">
      <alignment horizontal="justify"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justify" vertical="center" wrapText="1"/>
      <protection hidden="1"/>
    </xf>
    <xf numFmtId="0" fontId="77" fillId="0" borderId="0" xfId="0" applyFont="1" applyAlignment="1" applyProtection="1">
      <alignment horizontal="center" vertical="center" wrapText="1"/>
      <protection hidden="1"/>
    </xf>
    <xf numFmtId="0" fontId="0" fillId="0" borderId="0" xfId="0" applyAlignment="1" applyProtection="1">
      <alignment horizontal="right" vertical="top"/>
      <protection hidden="1"/>
    </xf>
    <xf numFmtId="10" fontId="0" fillId="0" borderId="0" xfId="0" applyNumberFormat="1" applyAlignment="1" applyProtection="1">
      <alignment horizontal="center" vertical="top"/>
      <protection hidden="1"/>
    </xf>
    <xf numFmtId="9" fontId="0" fillId="0" borderId="0" xfId="0" applyNumberFormat="1" applyAlignment="1" applyProtection="1">
      <alignment horizontal="right" vertical="top"/>
      <protection hidden="1"/>
    </xf>
    <xf numFmtId="10" fontId="0" fillId="0" borderId="0" xfId="19" applyNumberFormat="1" applyFont="1" applyAlignment="1" applyProtection="1">
      <alignment horizontal="center" vertical="top"/>
      <protection hidden="1"/>
    </xf>
    <xf numFmtId="170" fontId="0" fillId="0" borderId="0" xfId="0" applyNumberFormat="1" applyAlignment="1" applyProtection="1">
      <alignment horizontal="center" vertical="top"/>
      <protection hidden="1"/>
    </xf>
    <xf numFmtId="10" fontId="0" fillId="0" borderId="0" xfId="19" applyNumberFormat="1" applyFont="1" applyAlignment="1" applyProtection="1">
      <alignment horizontal="right" vertical="top"/>
      <protection hidden="1"/>
    </xf>
    <xf numFmtId="0" fontId="0" fillId="0" borderId="0" xfId="0" applyProtection="1">
      <protection hidden="1"/>
    </xf>
    <xf numFmtId="0" fontId="92" fillId="0" borderId="0" xfId="0" applyFont="1" applyAlignment="1" applyProtection="1">
      <alignment vertical="top" wrapText="1"/>
      <protection locked="0"/>
    </xf>
    <xf numFmtId="0" fontId="59" fillId="0" borderId="4" xfId="0" applyFont="1" applyBorder="1" applyAlignment="1">
      <alignment horizontal="center" vertical="center" wrapText="1"/>
    </xf>
    <xf numFmtId="10" fontId="18" fillId="13" borderId="0" xfId="0" applyNumberFormat="1" applyFont="1" applyFill="1" applyAlignment="1" applyProtection="1">
      <alignment horizontal="center" vertical="top"/>
      <protection hidden="1"/>
    </xf>
    <xf numFmtId="8" fontId="94" fillId="0" borderId="0" xfId="0" applyNumberFormat="1" applyFont="1" applyAlignment="1">
      <alignment horizontal="justify" vertical="center"/>
    </xf>
    <xf numFmtId="10" fontId="58" fillId="13" borderId="0" xfId="0" applyNumberFormat="1" applyFont="1" applyFill="1" applyAlignment="1" applyProtection="1">
      <alignment horizontal="center" vertical="center"/>
      <protection hidden="1"/>
    </xf>
    <xf numFmtId="8" fontId="0" fillId="0" borderId="0" xfId="0" applyNumberFormat="1" applyAlignment="1">
      <alignment vertical="center"/>
    </xf>
    <xf numFmtId="10" fontId="18" fillId="0" borderId="0" xfId="0" applyNumberFormat="1" applyFont="1" applyAlignment="1" applyProtection="1">
      <alignment horizontal="center" vertical="top"/>
      <protection hidden="1"/>
    </xf>
    <xf numFmtId="10" fontId="58" fillId="0" borderId="0" xfId="0" applyNumberFormat="1" applyFont="1" applyAlignment="1" applyProtection="1">
      <alignment horizontal="center" vertical="center"/>
      <protection hidden="1"/>
    </xf>
    <xf numFmtId="0" fontId="0" fillId="0" borderId="0" xfId="0" applyAlignment="1">
      <alignment horizontal="right" vertical="top"/>
    </xf>
    <xf numFmtId="10" fontId="0" fillId="0" borderId="0" xfId="0" applyNumberFormat="1" applyAlignment="1">
      <alignment horizontal="center" vertical="top"/>
    </xf>
    <xf numFmtId="9" fontId="0" fillId="0" borderId="0" xfId="0" applyNumberFormat="1" applyAlignment="1">
      <alignment horizontal="right" vertical="top"/>
    </xf>
    <xf numFmtId="10" fontId="0" fillId="0" borderId="0" xfId="19" applyNumberFormat="1" applyFont="1" applyAlignment="1" applyProtection="1">
      <alignment horizontal="center" vertical="top"/>
    </xf>
    <xf numFmtId="170" fontId="0" fillId="0" borderId="0" xfId="0" applyNumberFormat="1" applyAlignment="1">
      <alignment horizontal="center" vertical="top"/>
    </xf>
    <xf numFmtId="10" fontId="0" fillId="0" borderId="0" xfId="19" applyNumberFormat="1" applyFont="1" applyAlignment="1" applyProtection="1">
      <alignment horizontal="right" vertical="top"/>
    </xf>
    <xf numFmtId="0" fontId="0" fillId="0" borderId="4" xfId="0" applyBorder="1" applyAlignment="1" applyProtection="1">
      <alignment vertical="center"/>
      <protection locked="0"/>
    </xf>
    <xf numFmtId="9" fontId="0" fillId="0" borderId="4" xfId="0" applyNumberFormat="1" applyBorder="1" applyAlignment="1" applyProtection="1">
      <alignment horizontal="center" vertical="center"/>
      <protection locked="0"/>
    </xf>
    <xf numFmtId="0" fontId="59" fillId="25" borderId="4" xfId="0" applyFont="1" applyFill="1" applyBorder="1" applyAlignment="1">
      <alignment horizontal="center" vertical="center"/>
    </xf>
    <xf numFmtId="41" fontId="0" fillId="0" borderId="4" xfId="19" applyFont="1" applyBorder="1" applyAlignment="1" applyProtection="1"/>
    <xf numFmtId="41" fontId="0" fillId="0" borderId="4" xfId="19" applyFont="1" applyFill="1" applyBorder="1" applyAlignment="1" applyProtection="1"/>
    <xf numFmtId="9" fontId="0" fillId="0" borderId="0" xfId="2" applyFont="1" applyFill="1" applyBorder="1" applyAlignment="1" applyProtection="1">
      <alignment horizontal="center"/>
      <protection locked="0"/>
    </xf>
    <xf numFmtId="0" fontId="93" fillId="0" borderId="0" xfId="0" applyFont="1" applyProtection="1">
      <protection hidden="1"/>
    </xf>
    <xf numFmtId="0" fontId="59" fillId="25" borderId="4" xfId="0" applyFont="1" applyFill="1" applyBorder="1" applyAlignment="1" applyProtection="1">
      <alignment horizontal="center" vertical="center"/>
      <protection hidden="1"/>
    </xf>
    <xf numFmtId="0" fontId="59" fillId="25" borderId="9" xfId="0" applyFont="1" applyFill="1" applyBorder="1" applyAlignment="1" applyProtection="1">
      <alignment horizontal="center" vertical="center" wrapText="1"/>
      <protection hidden="1"/>
    </xf>
    <xf numFmtId="177" fontId="0" fillId="0" borderId="9" xfId="17" applyNumberFormat="1" applyFont="1" applyBorder="1" applyProtection="1"/>
    <xf numFmtId="0" fontId="0" fillId="0" borderId="4" xfId="0" applyBorder="1" applyAlignment="1" applyProtection="1">
      <alignment horizontal="center" vertical="center"/>
      <protection locked="0"/>
    </xf>
    <xf numFmtId="0" fontId="59" fillId="0" borderId="0" xfId="0" applyFont="1" applyAlignment="1" applyProtection="1">
      <alignment horizontal="center"/>
      <protection hidden="1"/>
    </xf>
    <xf numFmtId="0" fontId="98" fillId="0" borderId="0" xfId="0" applyFont="1" applyProtection="1">
      <protection hidden="1"/>
    </xf>
    <xf numFmtId="0" fontId="0" fillId="30" borderId="0" xfId="0" applyFill="1"/>
    <xf numFmtId="0" fontId="88" fillId="0" borderId="4" xfId="0" applyFont="1" applyBorder="1" applyAlignment="1" applyProtection="1">
      <alignment vertical="center"/>
      <protection hidden="1"/>
    </xf>
    <xf numFmtId="0" fontId="14" fillId="50" borderId="0" xfId="5" applyFont="1" applyFill="1" applyAlignment="1" applyProtection="1">
      <alignment vertical="center" wrapText="1"/>
      <protection locked="0"/>
    </xf>
    <xf numFmtId="0" fontId="47" fillId="0" borderId="4" xfId="0" applyFont="1" applyBorder="1" applyAlignment="1" applyProtection="1">
      <alignment vertical="center" wrapText="1"/>
      <protection hidden="1"/>
    </xf>
    <xf numFmtId="0" fontId="108" fillId="50" borderId="0" xfId="5" applyFont="1" applyFill="1" applyAlignment="1" applyProtection="1">
      <alignment vertical="center" wrapText="1"/>
      <protection locked="0"/>
    </xf>
    <xf numFmtId="0" fontId="47" fillId="0" borderId="4" xfId="0" applyFont="1" applyBorder="1" applyAlignment="1" applyProtection="1">
      <alignment horizontal="left" vertical="center" wrapText="1"/>
      <protection hidden="1"/>
    </xf>
    <xf numFmtId="0" fontId="109" fillId="0" borderId="0" xfId="0" applyFont="1" applyAlignment="1" applyProtection="1">
      <alignment wrapText="1"/>
      <protection hidden="1"/>
    </xf>
    <xf numFmtId="0" fontId="14" fillId="13" borderId="0" xfId="5" applyFont="1" applyFill="1" applyAlignment="1" applyProtection="1">
      <alignment vertical="center" wrapText="1"/>
      <protection locked="0"/>
    </xf>
    <xf numFmtId="0" fontId="10" fillId="50" borderId="4" xfId="5" applyFont="1" applyFill="1" applyBorder="1" applyAlignment="1">
      <alignment vertical="center" wrapText="1"/>
    </xf>
    <xf numFmtId="3" fontId="10" fillId="13" borderId="4" xfId="5" applyNumberFormat="1" applyFont="1" applyFill="1" applyBorder="1" applyAlignment="1">
      <alignment vertical="center" wrapText="1"/>
    </xf>
    <xf numFmtId="2" fontId="28" fillId="50" borderId="0" xfId="5" applyNumberFormat="1" applyFont="1" applyFill="1" applyAlignment="1">
      <alignment horizontal="center" vertical="center" wrapText="1"/>
    </xf>
    <xf numFmtId="0" fontId="108" fillId="50" borderId="0" xfId="5" applyFont="1" applyFill="1" applyAlignment="1">
      <alignment vertical="center" wrapText="1"/>
    </xf>
    <xf numFmtId="0" fontId="10" fillId="50" borderId="20" xfId="5" applyFont="1" applyFill="1" applyBorder="1" applyAlignment="1">
      <alignment vertical="center" wrapText="1"/>
    </xf>
    <xf numFmtId="0" fontId="10" fillId="50" borderId="0" xfId="5" applyFont="1" applyFill="1" applyAlignment="1">
      <alignment vertical="center" wrapText="1"/>
    </xf>
    <xf numFmtId="3" fontId="10" fillId="13" borderId="0" xfId="5" applyNumberFormat="1" applyFont="1" applyFill="1" applyAlignment="1">
      <alignment vertical="center" wrapText="1"/>
    </xf>
    <xf numFmtId="0" fontId="20" fillId="13" borderId="0" xfId="5" applyFont="1" applyFill="1" applyAlignment="1" applyProtection="1">
      <alignment vertical="center" wrapText="1"/>
      <protection locked="0"/>
    </xf>
    <xf numFmtId="0" fontId="20" fillId="50" borderId="0" xfId="5" applyFont="1" applyFill="1" applyAlignment="1" applyProtection="1">
      <alignment vertical="center" wrapText="1"/>
      <protection locked="0"/>
    </xf>
    <xf numFmtId="2" fontId="10" fillId="13" borderId="0" xfId="5" applyNumberFormat="1" applyFont="1" applyFill="1" applyAlignment="1">
      <alignment horizontal="center" vertical="center" wrapText="1"/>
    </xf>
    <xf numFmtId="0" fontId="63" fillId="50" borderId="0" xfId="5" applyFont="1" applyFill="1" applyAlignment="1">
      <alignment vertical="center" wrapText="1"/>
    </xf>
    <xf numFmtId="0" fontId="63" fillId="50" borderId="0" xfId="5" applyFont="1" applyFill="1" applyAlignment="1">
      <alignment horizontal="justify" vertical="center" wrapText="1"/>
    </xf>
    <xf numFmtId="0" fontId="14" fillId="50" borderId="0" xfId="5" applyFont="1" applyFill="1" applyAlignment="1">
      <alignment vertical="center" wrapText="1"/>
    </xf>
    <xf numFmtId="0" fontId="11" fillId="52" borderId="0" xfId="5" applyFont="1" applyFill="1" applyAlignment="1">
      <alignment horizontal="left" vertical="center" wrapText="1"/>
    </xf>
    <xf numFmtId="0" fontId="113" fillId="52" borderId="0" xfId="5" applyFont="1" applyFill="1" applyAlignment="1">
      <alignment horizontal="center" vertical="center" wrapText="1"/>
    </xf>
    <xf numFmtId="0" fontId="113" fillId="52" borderId="26" xfId="5" applyFont="1" applyFill="1" applyBorder="1" applyAlignment="1">
      <alignment horizontal="center" vertical="center" wrapText="1"/>
    </xf>
    <xf numFmtId="0" fontId="113" fillId="52" borderId="73" xfId="5" applyFont="1" applyFill="1" applyBorder="1" applyAlignment="1">
      <alignment horizontal="center" vertical="center" wrapText="1"/>
    </xf>
    <xf numFmtId="0" fontId="113" fillId="52" borderId="52" xfId="5" applyFont="1" applyFill="1" applyBorder="1" applyAlignment="1">
      <alignment horizontal="center" vertical="center" wrapText="1"/>
    </xf>
    <xf numFmtId="0" fontId="28" fillId="52" borderId="16" xfId="5" applyFont="1" applyFill="1" applyBorder="1" applyAlignment="1">
      <alignment horizontal="center" vertical="center" wrapText="1"/>
    </xf>
    <xf numFmtId="0" fontId="28" fillId="52" borderId="14" xfId="5" applyFont="1" applyFill="1" applyBorder="1" applyAlignment="1">
      <alignment horizontal="center" vertical="center" wrapText="1"/>
    </xf>
    <xf numFmtId="0" fontId="28" fillId="52" borderId="61" xfId="5" applyFont="1" applyFill="1" applyBorder="1" applyAlignment="1">
      <alignment horizontal="center" vertical="center" wrapText="1"/>
    </xf>
    <xf numFmtId="0" fontId="28" fillId="52" borderId="31" xfId="5" applyFont="1" applyFill="1" applyBorder="1" applyAlignment="1">
      <alignment horizontal="center" vertical="center" wrapText="1"/>
    </xf>
    <xf numFmtId="0" fontId="28" fillId="52" borderId="15" xfId="5" applyFont="1" applyFill="1" applyBorder="1" applyAlignment="1">
      <alignment horizontal="center" vertical="center" wrapText="1"/>
    </xf>
    <xf numFmtId="0" fontId="27" fillId="50" borderId="16" xfId="5" applyFont="1" applyFill="1" applyBorder="1" applyAlignment="1" applyProtection="1">
      <alignment horizontal="center" vertical="center" wrapText="1"/>
      <protection locked="0"/>
    </xf>
    <xf numFmtId="3" fontId="114" fillId="48" borderId="4" xfId="0" applyNumberFormat="1" applyFont="1" applyFill="1" applyBorder="1" applyAlignment="1" applyProtection="1">
      <alignment horizontal="right" vertical="center" wrapText="1"/>
      <protection locked="0"/>
    </xf>
    <xf numFmtId="3" fontId="114" fillId="13" borderId="4" xfId="0" applyNumberFormat="1" applyFont="1" applyFill="1" applyBorder="1" applyAlignment="1">
      <alignment horizontal="right" vertical="center" wrapText="1"/>
    </xf>
    <xf numFmtId="3" fontId="114" fillId="48" borderId="9" xfId="0" applyNumberFormat="1" applyFont="1" applyFill="1" applyBorder="1" applyAlignment="1" applyProtection="1">
      <alignment horizontal="right" vertical="center" wrapText="1"/>
      <protection locked="0"/>
    </xf>
    <xf numFmtId="3" fontId="114" fillId="48" borderId="9" xfId="0" applyNumberFormat="1" applyFont="1" applyFill="1" applyBorder="1" applyAlignment="1">
      <alignment horizontal="right" vertical="center" wrapText="1"/>
    </xf>
    <xf numFmtId="3" fontId="114" fillId="48" borderId="9" xfId="0" applyNumberFormat="1" applyFont="1" applyFill="1" applyBorder="1" applyAlignment="1" applyProtection="1">
      <alignment horizontal="center" vertical="center" wrapText="1"/>
      <protection locked="0"/>
    </xf>
    <xf numFmtId="0" fontId="14" fillId="50" borderId="17" xfId="5" applyFont="1" applyFill="1" applyBorder="1" applyAlignment="1" applyProtection="1">
      <alignment horizontal="center" vertical="center" wrapText="1"/>
      <protection locked="0"/>
    </xf>
    <xf numFmtId="3" fontId="114" fillId="29" borderId="4" xfId="0" applyNumberFormat="1" applyFont="1" applyFill="1" applyBorder="1" applyAlignment="1" applyProtection="1">
      <alignment horizontal="right" vertical="center" wrapText="1"/>
      <protection locked="0"/>
    </xf>
    <xf numFmtId="0" fontId="27" fillId="50" borderId="102" xfId="5" applyFont="1" applyFill="1" applyBorder="1" applyAlignment="1">
      <alignment vertical="center" wrapText="1"/>
    </xf>
    <xf numFmtId="0" fontId="108" fillId="53" borderId="4" xfId="5" applyFont="1" applyFill="1" applyBorder="1" applyAlignment="1">
      <alignment horizontal="center" vertical="center" wrapText="1"/>
    </xf>
    <xf numFmtId="3" fontId="108" fillId="53" borderId="4" xfId="5" applyNumberFormat="1" applyFont="1" applyFill="1" applyBorder="1" applyAlignment="1">
      <alignment horizontal="right" vertical="center" wrapText="1"/>
    </xf>
    <xf numFmtId="3" fontId="108" fillId="53" borderId="64" xfId="5" applyNumberFormat="1" applyFont="1" applyFill="1" applyBorder="1" applyAlignment="1">
      <alignment horizontal="right" vertical="center" wrapText="1"/>
    </xf>
    <xf numFmtId="3" fontId="108" fillId="53" borderId="94" xfId="5" applyNumberFormat="1" applyFont="1" applyFill="1" applyBorder="1" applyAlignment="1">
      <alignment horizontal="right" vertical="center" wrapText="1"/>
    </xf>
    <xf numFmtId="0" fontId="115" fillId="53" borderId="81" xfId="16" applyFont="1" applyFill="1" applyBorder="1" applyAlignment="1" applyProtection="1">
      <alignment horizontal="center" vertical="center" wrapText="1"/>
    </xf>
    <xf numFmtId="0" fontId="115" fillId="53" borderId="82" xfId="16" applyFont="1" applyFill="1" applyBorder="1" applyAlignment="1" applyProtection="1">
      <alignment vertical="center" wrapText="1"/>
    </xf>
    <xf numFmtId="2" fontId="116" fillId="53" borderId="4" xfId="16" applyNumberFormat="1" applyFont="1" applyFill="1" applyBorder="1" applyAlignment="1" applyProtection="1">
      <alignment horizontal="center" vertical="center" wrapText="1"/>
    </xf>
    <xf numFmtId="0" fontId="114" fillId="50" borderId="46" xfId="5" applyFont="1" applyFill="1" applyBorder="1" applyAlignment="1">
      <alignment vertical="center" wrapText="1"/>
    </xf>
    <xf numFmtId="10" fontId="108" fillId="53" borderId="67" xfId="7" applyNumberFormat="1" applyFont="1" applyFill="1" applyBorder="1" applyAlignment="1">
      <alignment horizontal="center" vertical="center" wrapText="1"/>
    </xf>
    <xf numFmtId="10" fontId="108" fillId="53" borderId="111" xfId="7" applyNumberFormat="1" applyFont="1" applyFill="1" applyBorder="1" applyAlignment="1">
      <alignment horizontal="center" vertical="center" wrapText="1"/>
    </xf>
    <xf numFmtId="10" fontId="108" fillId="53" borderId="9" xfId="7" applyNumberFormat="1" applyFont="1" applyFill="1" applyBorder="1" applyAlignment="1">
      <alignment horizontal="center" vertical="center" wrapText="1"/>
    </xf>
    <xf numFmtId="10" fontId="108" fillId="53" borderId="4" xfId="7" applyNumberFormat="1" applyFont="1" applyFill="1" applyBorder="1" applyAlignment="1">
      <alignment horizontal="center" vertical="center" wrapText="1"/>
    </xf>
    <xf numFmtId="0" fontId="114" fillId="50" borderId="35" xfId="5" applyFont="1" applyFill="1" applyBorder="1" applyAlignment="1">
      <alignment vertical="center" wrapText="1"/>
    </xf>
    <xf numFmtId="3" fontId="113" fillId="50" borderId="35" xfId="5" applyNumberFormat="1" applyFont="1" applyFill="1" applyBorder="1" applyAlignment="1">
      <alignment vertical="center" wrapText="1"/>
    </xf>
    <xf numFmtId="0" fontId="108" fillId="50" borderId="77" xfId="5" applyFont="1" applyFill="1" applyBorder="1" applyAlignment="1">
      <alignment vertical="center" wrapText="1"/>
    </xf>
    <xf numFmtId="0" fontId="114" fillId="50" borderId="26" xfId="5" applyFont="1" applyFill="1" applyBorder="1" applyAlignment="1">
      <alignment vertical="center" wrapText="1"/>
    </xf>
    <xf numFmtId="0" fontId="114" fillId="50" borderId="0" xfId="5" applyFont="1" applyFill="1" applyAlignment="1">
      <alignment vertical="center" wrapText="1"/>
    </xf>
    <xf numFmtId="0" fontId="14" fillId="50" borderId="26" xfId="5" applyFont="1" applyFill="1" applyBorder="1" applyAlignment="1" applyProtection="1">
      <alignment vertical="center" wrapText="1"/>
      <protection locked="0"/>
    </xf>
    <xf numFmtId="0" fontId="28" fillId="52" borderId="4" xfId="5" applyFont="1" applyFill="1" applyBorder="1" applyAlignment="1">
      <alignment horizontal="center" vertical="center" wrapText="1"/>
    </xf>
    <xf numFmtId="0" fontId="28" fillId="52" borderId="17" xfId="5" applyFont="1" applyFill="1" applyBorder="1" applyAlignment="1">
      <alignment horizontal="center" vertical="center" wrapText="1"/>
    </xf>
    <xf numFmtId="3" fontId="114" fillId="13" borderId="4" xfId="0" applyNumberFormat="1" applyFont="1" applyFill="1" applyBorder="1" applyAlignment="1" applyProtection="1">
      <alignment horizontal="right" vertical="center" wrapText="1"/>
      <protection locked="0"/>
    </xf>
    <xf numFmtId="3" fontId="114" fillId="48" borderId="4" xfId="0" applyNumberFormat="1" applyFont="1" applyFill="1" applyBorder="1" applyAlignment="1">
      <alignment horizontal="right" vertical="center" wrapText="1"/>
    </xf>
    <xf numFmtId="0" fontId="114" fillId="50" borderId="4" xfId="5" applyFont="1" applyFill="1" applyBorder="1" applyAlignment="1" applyProtection="1">
      <alignment horizontal="justify" vertical="center" wrapText="1"/>
      <protection locked="0"/>
    </xf>
    <xf numFmtId="3" fontId="27" fillId="48" borderId="4" xfId="0" applyNumberFormat="1" applyFont="1" applyFill="1" applyBorder="1" applyAlignment="1" applyProtection="1">
      <alignment horizontal="right" vertical="center" wrapText="1"/>
      <protection locked="0"/>
    </xf>
    <xf numFmtId="0" fontId="27" fillId="50" borderId="16" xfId="5" applyFont="1" applyFill="1" applyBorder="1" applyAlignment="1" applyProtection="1">
      <alignment vertical="center" wrapText="1"/>
      <protection locked="0"/>
    </xf>
    <xf numFmtId="0" fontId="108" fillId="53" borderId="4" xfId="5" applyFont="1" applyFill="1" applyBorder="1" applyAlignment="1" applyProtection="1">
      <alignment horizontal="justify" vertical="center" wrapText="1"/>
      <protection locked="0"/>
    </xf>
    <xf numFmtId="3" fontId="108" fillId="53" borderId="9" xfId="5" applyNumberFormat="1" applyFont="1" applyFill="1" applyBorder="1" applyAlignment="1">
      <alignment horizontal="right" vertical="center" wrapText="1"/>
    </xf>
    <xf numFmtId="0" fontId="14" fillId="50" borderId="17" xfId="5" applyFont="1" applyFill="1" applyBorder="1" applyAlignment="1" applyProtection="1">
      <alignment vertical="center" wrapText="1"/>
      <protection locked="0"/>
    </xf>
    <xf numFmtId="0" fontId="114" fillId="50" borderId="66" xfId="5" applyFont="1" applyFill="1" applyBorder="1" applyAlignment="1">
      <alignment horizontal="right" vertical="center" wrapText="1"/>
    </xf>
    <xf numFmtId="4" fontId="116" fillId="53" borderId="4" xfId="16" applyNumberFormat="1" applyFont="1" applyFill="1" applyBorder="1" applyAlignment="1" applyProtection="1">
      <alignment horizontal="center" vertical="center" wrapText="1"/>
    </xf>
    <xf numFmtId="3" fontId="114" fillId="50" borderId="66" xfId="5" applyNumberFormat="1" applyFont="1" applyFill="1" applyBorder="1" applyAlignment="1">
      <alignment horizontal="right" vertical="center" wrapText="1"/>
    </xf>
    <xf numFmtId="10" fontId="108" fillId="53" borderId="111" xfId="5" applyNumberFormat="1" applyFont="1" applyFill="1" applyBorder="1" applyAlignment="1">
      <alignment horizontal="center" vertical="center" wrapText="1"/>
    </xf>
    <xf numFmtId="10" fontId="108" fillId="53" borderId="4" xfId="5" applyNumberFormat="1" applyFont="1" applyFill="1" applyBorder="1" applyAlignment="1">
      <alignment horizontal="center" vertical="center" wrapText="1"/>
    </xf>
    <xf numFmtId="10" fontId="108" fillId="53" borderId="94" xfId="7" applyNumberFormat="1" applyFont="1" applyFill="1" applyBorder="1" applyAlignment="1">
      <alignment horizontal="center" vertical="center" wrapText="1"/>
    </xf>
    <xf numFmtId="0" fontId="114" fillId="50" borderId="2" xfId="5" applyFont="1" applyFill="1" applyBorder="1" applyAlignment="1">
      <alignment vertical="center" wrapText="1"/>
    </xf>
    <xf numFmtId="3" fontId="114" fillId="50" borderId="2" xfId="5" applyNumberFormat="1" applyFont="1" applyFill="1" applyBorder="1" applyAlignment="1">
      <alignment vertical="center" wrapText="1"/>
    </xf>
    <xf numFmtId="10" fontId="108" fillId="53" borderId="115" xfId="7" applyNumberFormat="1" applyFont="1" applyFill="1" applyBorder="1" applyAlignment="1">
      <alignment horizontal="center" vertical="center" wrapText="1"/>
    </xf>
    <xf numFmtId="10" fontId="108" fillId="53" borderId="116" xfId="7" applyNumberFormat="1" applyFont="1" applyFill="1" applyBorder="1" applyAlignment="1">
      <alignment horizontal="center" vertical="center" wrapText="1"/>
    </xf>
    <xf numFmtId="10" fontId="108" fillId="53" borderId="117" xfId="7" applyNumberFormat="1" applyFont="1" applyFill="1" applyBorder="1" applyAlignment="1">
      <alignment horizontal="center" vertical="center" wrapText="1"/>
    </xf>
    <xf numFmtId="0" fontId="114" fillId="50" borderId="17" xfId="5" applyFont="1" applyFill="1" applyBorder="1" applyAlignment="1">
      <alignment vertical="center" wrapText="1"/>
    </xf>
    <xf numFmtId="0" fontId="118" fillId="50" borderId="0" xfId="16" applyFont="1" applyFill="1" applyAlignment="1" applyProtection="1">
      <alignment horizontal="center" vertical="center" wrapText="1"/>
    </xf>
    <xf numFmtId="3" fontId="28" fillId="53" borderId="4" xfId="5" applyNumberFormat="1" applyFont="1" applyFill="1" applyBorder="1" applyAlignment="1">
      <alignment horizontal="right" vertical="center" wrapText="1"/>
    </xf>
    <xf numFmtId="0" fontId="118" fillId="50" borderId="4" xfId="16" applyFont="1" applyFill="1" applyBorder="1" applyAlignment="1" applyProtection="1">
      <alignment horizontal="center" vertical="center" wrapText="1"/>
    </xf>
    <xf numFmtId="0" fontId="115" fillId="13" borderId="0" xfId="16" applyFont="1" applyFill="1" applyBorder="1" applyAlignment="1" applyProtection="1">
      <alignment horizontal="center" vertical="center" wrapText="1"/>
    </xf>
    <xf numFmtId="0" fontId="118" fillId="13" borderId="0" xfId="16" applyFont="1" applyFill="1" applyAlignment="1" applyProtection="1">
      <alignment horizontal="center" vertical="center" wrapText="1"/>
    </xf>
    <xf numFmtId="3" fontId="28" fillId="13" borderId="0" xfId="5" applyNumberFormat="1" applyFont="1" applyFill="1" applyAlignment="1">
      <alignment horizontal="right" vertical="center" wrapText="1"/>
    </xf>
    <xf numFmtId="3" fontId="108" fillId="13" borderId="0" xfId="5" applyNumberFormat="1" applyFont="1" applyFill="1" applyAlignment="1">
      <alignment horizontal="right" vertical="center" wrapText="1"/>
    </xf>
    <xf numFmtId="0" fontId="118" fillId="13" borderId="0" xfId="16" applyFont="1" applyFill="1" applyBorder="1" applyAlignment="1" applyProtection="1">
      <alignment horizontal="center" vertical="center" wrapText="1"/>
    </xf>
    <xf numFmtId="0" fontId="14" fillId="13" borderId="26" xfId="5" applyFont="1" applyFill="1" applyBorder="1" applyAlignment="1" applyProtection="1">
      <alignment vertical="center" wrapText="1"/>
      <protection locked="0"/>
    </xf>
    <xf numFmtId="0" fontId="119" fillId="13" borderId="0" xfId="16" applyFont="1" applyFill="1" applyBorder="1" applyAlignment="1" applyProtection="1">
      <alignment horizontal="justify" vertical="center" wrapText="1"/>
    </xf>
    <xf numFmtId="0" fontId="118" fillId="50" borderId="0" xfId="16" applyFont="1" applyFill="1" applyBorder="1" applyAlignment="1" applyProtection="1">
      <alignment horizontal="center" vertical="center" wrapText="1"/>
    </xf>
    <xf numFmtId="0" fontId="30" fillId="36" borderId="40" xfId="0" applyFont="1" applyFill="1" applyBorder="1" applyAlignment="1">
      <alignment horizontal="center" vertical="center" wrapText="1"/>
    </xf>
    <xf numFmtId="0" fontId="35" fillId="13" borderId="0" xfId="0" applyFont="1" applyFill="1" applyAlignment="1">
      <alignment horizontal="justify" vertical="center" wrapText="1"/>
    </xf>
    <xf numFmtId="0" fontId="74" fillId="13" borderId="0" xfId="0" applyFont="1" applyFill="1" applyAlignment="1" applyProtection="1">
      <alignment horizontal="center" vertical="center" wrapText="1"/>
      <protection hidden="1"/>
    </xf>
    <xf numFmtId="0" fontId="35" fillId="13" borderId="26" xfId="0" applyFont="1" applyFill="1" applyBorder="1" applyAlignment="1" applyProtection="1">
      <alignment horizontal="center" vertical="center" wrapText="1"/>
      <protection hidden="1"/>
    </xf>
    <xf numFmtId="0" fontId="30" fillId="0" borderId="19" xfId="0" applyFont="1" applyBorder="1" applyAlignment="1">
      <alignment horizontal="center" vertical="center" wrapText="1"/>
    </xf>
    <xf numFmtId="0" fontId="121" fillId="0" borderId="19" xfId="0" applyFont="1" applyBorder="1" applyAlignment="1">
      <alignment horizontal="center" vertical="center" wrapText="1"/>
    </xf>
    <xf numFmtId="0" fontId="31" fillId="0" borderId="19" xfId="0" applyFont="1" applyBorder="1" applyAlignment="1">
      <alignment horizontal="center" vertical="center" wrapText="1"/>
    </xf>
    <xf numFmtId="0" fontId="33" fillId="0" borderId="19" xfId="0" applyFont="1" applyBorder="1" applyAlignment="1">
      <alignment horizontal="center" vertical="center" wrapText="1"/>
    </xf>
    <xf numFmtId="0" fontId="123" fillId="0" borderId="19" xfId="0" applyFont="1" applyBorder="1" applyAlignment="1">
      <alignment horizontal="center" vertical="center" wrapText="1"/>
    </xf>
    <xf numFmtId="0" fontId="124" fillId="13" borderId="0" xfId="0" applyFont="1" applyFill="1" applyAlignment="1" applyProtection="1">
      <alignment horizontal="center" vertical="center" wrapText="1"/>
      <protection hidden="1"/>
    </xf>
    <xf numFmtId="10" fontId="10" fillId="13" borderId="0" xfId="2" applyNumberFormat="1" applyFont="1" applyFill="1" applyBorder="1" applyAlignment="1" applyProtection="1">
      <alignment horizontal="center" vertical="center" wrapText="1"/>
      <protection hidden="1"/>
    </xf>
    <xf numFmtId="0" fontId="20" fillId="13" borderId="0" xfId="0" applyFont="1" applyFill="1" applyAlignment="1" applyProtection="1">
      <alignment horizontal="center" vertical="center" wrapText="1"/>
      <protection hidden="1"/>
    </xf>
    <xf numFmtId="3" fontId="20" fillId="13" borderId="0" xfId="0" applyNumberFormat="1" applyFont="1" applyFill="1" applyAlignment="1" applyProtection="1">
      <alignment horizontal="center" vertical="center" wrapText="1"/>
      <protection hidden="1"/>
    </xf>
    <xf numFmtId="3" fontId="20" fillId="13" borderId="26" xfId="0" applyNumberFormat="1" applyFont="1" applyFill="1" applyBorder="1" applyAlignment="1" applyProtection="1">
      <alignment vertical="center" wrapText="1"/>
      <protection hidden="1"/>
    </xf>
    <xf numFmtId="0" fontId="122" fillId="0" borderId="19" xfId="0" applyFont="1" applyBorder="1" applyAlignment="1">
      <alignment horizontal="center" vertical="center" wrapText="1"/>
    </xf>
    <xf numFmtId="0" fontId="32" fillId="0" borderId="19" xfId="0" applyFont="1" applyBorder="1" applyAlignment="1">
      <alignment horizontal="center" vertical="center" wrapText="1"/>
    </xf>
    <xf numFmtId="0" fontId="31" fillId="0" borderId="102" xfId="0" applyFont="1" applyBorder="1" applyAlignment="1">
      <alignment horizontal="center" vertical="center" wrapText="1"/>
    </xf>
    <xf numFmtId="0" fontId="32" fillId="0" borderId="0" xfId="0" applyFont="1" applyAlignment="1">
      <alignment horizontal="center" vertical="center" wrapText="1"/>
    </xf>
    <xf numFmtId="0" fontId="122" fillId="0" borderId="0" xfId="0" applyFont="1" applyAlignment="1">
      <alignment horizontal="center" vertical="center" wrapText="1"/>
    </xf>
    <xf numFmtId="0" fontId="20" fillId="0" borderId="26" xfId="0" applyFont="1" applyBorder="1" applyAlignment="1">
      <alignment vertical="center" wrapText="1"/>
    </xf>
    <xf numFmtId="0" fontId="24" fillId="0" borderId="14" xfId="22" applyFont="1" applyFill="1" applyBorder="1" applyAlignment="1" applyProtection="1">
      <alignment horizontal="center" vertical="center" wrapText="1"/>
      <protection hidden="1"/>
    </xf>
    <xf numFmtId="2" fontId="19" fillId="44" borderId="14" xfId="18" applyNumberFormat="1" applyFont="1" applyFill="1" applyBorder="1" applyAlignment="1" applyProtection="1">
      <alignment horizontal="justify" vertical="center" wrapText="1"/>
      <protection hidden="1"/>
    </xf>
    <xf numFmtId="0" fontId="24" fillId="0" borderId="14" xfId="22" applyFont="1" applyFill="1" applyBorder="1" applyAlignment="1" applyProtection="1">
      <alignment horizontal="justify" vertical="center" wrapText="1"/>
      <protection hidden="1"/>
    </xf>
    <xf numFmtId="0" fontId="20" fillId="0" borderId="0" xfId="0" applyFont="1" applyAlignment="1" applyProtection="1">
      <alignment horizontal="justify" vertical="center" wrapText="1"/>
      <protection hidden="1"/>
    </xf>
    <xf numFmtId="2" fontId="21" fillId="20" borderId="4" xfId="18" applyNumberFormat="1" applyFont="1" applyFill="1" applyBorder="1" applyAlignment="1" applyProtection="1">
      <alignment horizontal="center" vertical="center" wrapText="1"/>
      <protection hidden="1"/>
    </xf>
    <xf numFmtId="2" fontId="20" fillId="13" borderId="4" xfId="18" applyNumberFormat="1" applyFont="1" applyFill="1" applyBorder="1" applyAlignment="1" applyProtection="1">
      <alignment horizontal="justify" vertical="center" wrapText="1"/>
      <protection hidden="1"/>
    </xf>
    <xf numFmtId="0" fontId="29" fillId="0" borderId="102" xfId="0" applyFont="1" applyBorder="1" applyAlignment="1">
      <alignment horizontal="center" vertical="center" wrapText="1"/>
    </xf>
    <xf numFmtId="0" fontId="126" fillId="0" borderId="0" xfId="0" applyFont="1" applyAlignment="1">
      <alignment horizontal="center" vertical="center" wrapText="1"/>
    </xf>
    <xf numFmtId="0" fontId="129" fillId="0" borderId="0" xfId="0" applyFont="1" applyAlignment="1">
      <alignment horizontal="center" vertical="center" wrapText="1"/>
    </xf>
    <xf numFmtId="4" fontId="126" fillId="0" borderId="4" xfId="0" applyNumberFormat="1" applyFont="1" applyBorder="1" applyAlignment="1">
      <alignment horizontal="center" vertical="center" wrapText="1"/>
    </xf>
    <xf numFmtId="4" fontId="130" fillId="0" borderId="4" xfId="0" applyNumberFormat="1" applyFont="1" applyBorder="1" applyAlignment="1">
      <alignment horizontal="center" vertical="center" wrapText="1"/>
    </xf>
    <xf numFmtId="4" fontId="126" fillId="0" borderId="0" xfId="0" applyNumberFormat="1" applyFont="1" applyAlignment="1">
      <alignment horizontal="center" vertical="center" wrapText="1"/>
    </xf>
    <xf numFmtId="4" fontId="73" fillId="0" borderId="4" xfId="0" applyNumberFormat="1" applyFont="1" applyBorder="1" applyAlignment="1">
      <alignment horizontal="center" vertical="center" wrapText="1"/>
    </xf>
    <xf numFmtId="0" fontId="21" fillId="0" borderId="0" xfId="0" applyFont="1" applyAlignment="1">
      <alignment horizontal="center" vertical="center" wrapText="1"/>
    </xf>
    <xf numFmtId="4" fontId="130" fillId="0" borderId="0" xfId="0" applyNumberFormat="1" applyFont="1" applyAlignment="1">
      <alignment horizontal="center" vertical="center" wrapText="1"/>
    </xf>
    <xf numFmtId="4" fontId="73" fillId="0" borderId="0" xfId="0" applyNumberFormat="1" applyFont="1" applyAlignment="1">
      <alignment horizontal="center" vertical="center" wrapText="1"/>
    </xf>
    <xf numFmtId="0" fontId="35" fillId="11" borderId="4" xfId="0" applyFont="1" applyFill="1" applyBorder="1" applyAlignment="1">
      <alignment horizontal="justify" vertical="center" wrapText="1"/>
    </xf>
    <xf numFmtId="0" fontId="74" fillId="11" borderId="4" xfId="0" applyFont="1" applyFill="1" applyBorder="1" applyAlignment="1" applyProtection="1">
      <alignment horizontal="center" vertical="center" wrapText="1"/>
      <protection hidden="1"/>
    </xf>
    <xf numFmtId="0" fontId="10" fillId="11" borderId="4" xfId="0" applyFont="1" applyFill="1" applyBorder="1" applyAlignment="1" applyProtection="1">
      <alignment horizontal="center" vertical="center" wrapText="1"/>
      <protection hidden="1"/>
    </xf>
    <xf numFmtId="0" fontId="25" fillId="11" borderId="4" xfId="0" applyFont="1" applyFill="1" applyBorder="1" applyAlignment="1" applyProtection="1">
      <alignment horizontal="center" vertical="center" wrapText="1"/>
      <protection hidden="1"/>
    </xf>
    <xf numFmtId="0" fontId="124" fillId="36" borderId="4" xfId="0" applyFont="1" applyFill="1" applyBorder="1" applyAlignment="1" applyProtection="1">
      <alignment horizontal="center" vertical="center" wrapText="1"/>
      <protection hidden="1"/>
    </xf>
    <xf numFmtId="10" fontId="10" fillId="36" borderId="4" xfId="2" applyNumberFormat="1" applyFont="1" applyFill="1" applyBorder="1" applyAlignment="1" applyProtection="1">
      <alignment horizontal="center" vertical="center" wrapText="1"/>
      <protection hidden="1"/>
    </xf>
    <xf numFmtId="3" fontId="20" fillId="0" borderId="4" xfId="0" applyNumberFormat="1" applyFont="1" applyBorder="1" applyAlignment="1" applyProtection="1">
      <alignment horizontal="center" vertical="center" wrapText="1"/>
      <protection hidden="1"/>
    </xf>
    <xf numFmtId="3" fontId="20" fillId="0" borderId="4" xfId="0" applyNumberFormat="1" applyFont="1" applyBorder="1" applyAlignment="1" applyProtection="1">
      <alignment vertical="center" wrapText="1"/>
      <protection hidden="1"/>
    </xf>
    <xf numFmtId="0" fontId="73" fillId="13" borderId="0" xfId="21" applyFont="1" applyFill="1" applyBorder="1" applyAlignment="1">
      <alignment horizontal="center" vertical="center" wrapText="1"/>
    </xf>
    <xf numFmtId="0" fontId="110" fillId="38" borderId="19" xfId="21" applyFont="1" applyBorder="1" applyAlignment="1">
      <alignment horizontal="center" vertical="center" wrapText="1"/>
    </xf>
    <xf numFmtId="0" fontId="110" fillId="13" borderId="0" xfId="21" applyFont="1" applyFill="1" applyBorder="1" applyAlignment="1">
      <alignment horizontal="center" vertical="center" wrapText="1"/>
    </xf>
    <xf numFmtId="0" fontId="17" fillId="38" borderId="19" xfId="21" applyFont="1" applyBorder="1" applyAlignment="1">
      <alignment horizontal="center" vertical="center" wrapText="1"/>
    </xf>
    <xf numFmtId="0" fontId="134" fillId="4" borderId="40" xfId="16" applyFont="1" applyFill="1" applyBorder="1" applyAlignment="1" applyProtection="1">
      <alignment horizontal="center" vertical="center" wrapText="1"/>
    </xf>
    <xf numFmtId="0" fontId="134" fillId="13" borderId="0" xfId="16" applyFont="1" applyFill="1" applyBorder="1" applyAlignment="1" applyProtection="1">
      <alignment horizontal="center" vertical="center" wrapText="1"/>
    </xf>
    <xf numFmtId="0" fontId="17" fillId="38" borderId="121" xfId="21" applyFont="1" applyBorder="1" applyAlignment="1">
      <alignment horizontal="center" vertical="center" wrapText="1"/>
    </xf>
    <xf numFmtId="10" fontId="134" fillId="4" borderId="38" xfId="16" applyNumberFormat="1" applyFont="1" applyFill="1" applyBorder="1" applyAlignment="1" applyProtection="1">
      <alignment horizontal="center" vertical="center" wrapText="1"/>
    </xf>
    <xf numFmtId="0" fontId="60" fillId="0" borderId="0" xfId="0" applyFont="1" applyAlignment="1">
      <alignment horizontal="center" vertical="center" wrapText="1"/>
    </xf>
    <xf numFmtId="0" fontId="60" fillId="13" borderId="102" xfId="0" applyFont="1" applyFill="1" applyBorder="1" applyAlignment="1">
      <alignment horizontal="center" vertical="center" wrapText="1"/>
    </xf>
    <xf numFmtId="0" fontId="60" fillId="13" borderId="0" xfId="0" applyFont="1" applyFill="1" applyAlignment="1">
      <alignment horizontal="center" vertical="center" wrapText="1"/>
    </xf>
    <xf numFmtId="0" fontId="17" fillId="13" borderId="0" xfId="21" applyFont="1" applyFill="1" applyBorder="1" applyAlignment="1">
      <alignment horizontal="center" vertical="center" wrapText="1"/>
    </xf>
    <xf numFmtId="10" fontId="134" fillId="13" borderId="0" xfId="16" applyNumberFormat="1" applyFont="1" applyFill="1" applyBorder="1" applyAlignment="1" applyProtection="1">
      <alignment horizontal="center" vertical="center" wrapText="1"/>
    </xf>
    <xf numFmtId="0" fontId="137" fillId="6" borderId="19" xfId="5" applyFont="1" applyFill="1" applyBorder="1" applyAlignment="1">
      <alignment horizontal="center" vertical="center" wrapText="1"/>
    </xf>
    <xf numFmtId="0" fontId="138" fillId="46" borderId="19" xfId="5" applyFont="1" applyFill="1" applyBorder="1" applyAlignment="1">
      <alignment horizontal="center" vertical="center" wrapText="1"/>
    </xf>
    <xf numFmtId="9" fontId="138" fillId="46" borderId="19" xfId="7" applyFont="1" applyFill="1" applyBorder="1" applyAlignment="1">
      <alignment horizontal="center" vertical="center" wrapText="1"/>
    </xf>
    <xf numFmtId="0" fontId="137" fillId="13" borderId="0" xfId="5" applyFont="1" applyFill="1" applyAlignment="1">
      <alignment horizontal="center" vertical="center" wrapText="1"/>
    </xf>
    <xf numFmtId="0" fontId="138" fillId="13" borderId="0" xfId="5" applyFont="1" applyFill="1" applyAlignment="1">
      <alignment horizontal="center" vertical="center" wrapText="1"/>
    </xf>
    <xf numFmtId="9" fontId="138" fillId="13" borderId="0" xfId="7" applyFont="1" applyFill="1" applyBorder="1" applyAlignment="1">
      <alignment horizontal="center" vertical="center" wrapText="1"/>
    </xf>
    <xf numFmtId="0" fontId="137" fillId="6" borderId="38" xfId="5" applyFont="1" applyFill="1" applyBorder="1" applyAlignment="1">
      <alignment horizontal="center" vertical="center" wrapText="1"/>
    </xf>
    <xf numFmtId="0" fontId="137" fillId="6" borderId="38" xfId="5" applyFont="1" applyFill="1" applyBorder="1" applyAlignment="1">
      <alignment vertical="center" wrapText="1"/>
    </xf>
    <xf numFmtId="0" fontId="137" fillId="0" borderId="38" xfId="5" applyFont="1" applyBorder="1" applyAlignment="1">
      <alignment horizontal="center" vertical="center" wrapText="1"/>
    </xf>
    <xf numFmtId="0" fontId="137" fillId="13" borderId="103" xfId="5" applyFont="1" applyFill="1" applyBorder="1" applyAlignment="1">
      <alignment horizontal="center" vertical="center" wrapText="1"/>
    </xf>
    <xf numFmtId="0" fontId="137" fillId="13" borderId="2" xfId="5" applyFont="1" applyFill="1" applyBorder="1" applyAlignment="1">
      <alignment vertical="center" wrapText="1"/>
    </xf>
    <xf numFmtId="9" fontId="138" fillId="13" borderId="2" xfId="7" applyFont="1" applyFill="1" applyBorder="1" applyAlignment="1">
      <alignment horizontal="center" vertical="center" wrapText="1"/>
    </xf>
    <xf numFmtId="0" fontId="14" fillId="50" borderId="3" xfId="5" applyFont="1" applyFill="1" applyBorder="1" applyAlignment="1" applyProtection="1">
      <alignment vertical="center" wrapText="1"/>
      <protection locked="0"/>
    </xf>
    <xf numFmtId="0" fontId="137" fillId="13" borderId="0" xfId="5" applyFont="1" applyFill="1" applyAlignment="1">
      <alignment vertical="center" wrapText="1"/>
    </xf>
    <xf numFmtId="0" fontId="39" fillId="50" borderId="0" xfId="5" applyFont="1" applyFill="1" applyAlignment="1" applyProtection="1">
      <alignment vertical="center" wrapText="1"/>
      <protection locked="0"/>
    </xf>
    <xf numFmtId="0" fontId="25" fillId="47" borderId="0" xfId="0" applyFont="1" applyFill="1" applyAlignment="1">
      <alignment wrapText="1"/>
    </xf>
    <xf numFmtId="0" fontId="14" fillId="0" borderId="0" xfId="0" applyFont="1" applyAlignment="1">
      <alignment horizontal="justify" vertical="center" wrapText="1"/>
    </xf>
    <xf numFmtId="0" fontId="14" fillId="0" borderId="0" xfId="0" applyFont="1" applyAlignment="1" applyProtection="1">
      <alignment vertical="center"/>
      <protection hidden="1"/>
    </xf>
    <xf numFmtId="0" fontId="14" fillId="0" borderId="0" xfId="0" applyFont="1" applyAlignment="1" applyProtection="1">
      <alignment vertical="center"/>
      <protection locked="0"/>
    </xf>
    <xf numFmtId="0" fontId="19" fillId="0" borderId="0" xfId="0" applyFont="1" applyAlignment="1" applyProtection="1">
      <alignment vertical="center"/>
      <protection hidden="1"/>
    </xf>
    <xf numFmtId="0" fontId="25" fillId="0" borderId="0" xfId="0" applyFont="1" applyAlignment="1" applyProtection="1">
      <alignment horizontal="right" vertical="center"/>
      <protection hidden="1"/>
    </xf>
    <xf numFmtId="0" fontId="6" fillId="0" borderId="0" xfId="5" applyAlignment="1" applyProtection="1">
      <alignment vertical="center"/>
      <protection locked="0"/>
    </xf>
    <xf numFmtId="0" fontId="6" fillId="50" borderId="0" xfId="5" applyFill="1" applyAlignment="1" applyProtection="1">
      <alignment vertical="center"/>
      <protection locked="0"/>
    </xf>
    <xf numFmtId="0" fontId="100" fillId="0" borderId="0" xfId="5" applyFont="1" applyAlignment="1">
      <alignment vertical="center" wrapText="1"/>
    </xf>
    <xf numFmtId="0" fontId="71" fillId="0" borderId="0" xfId="0" applyFont="1" applyAlignment="1">
      <alignment vertical="center"/>
    </xf>
    <xf numFmtId="0" fontId="71" fillId="0" borderId="0" xfId="0" applyFont="1" applyAlignment="1">
      <alignment vertical="center" wrapText="1"/>
    </xf>
    <xf numFmtId="0" fontId="0" fillId="0" borderId="0" xfId="0" applyAlignment="1">
      <alignment vertical="center" wrapText="1"/>
    </xf>
    <xf numFmtId="9" fontId="0" fillId="0" borderId="0" xfId="2" applyFont="1" applyAlignment="1">
      <alignment vertical="center"/>
    </xf>
    <xf numFmtId="10" fontId="0" fillId="0" borderId="0" xfId="0" applyNumberFormat="1" applyAlignment="1">
      <alignment vertical="center"/>
    </xf>
    <xf numFmtId="0" fontId="140" fillId="57" borderId="16" xfId="5" applyFont="1" applyFill="1" applyBorder="1" applyAlignment="1" applyProtection="1">
      <alignment horizontal="justify" vertical="center" wrapText="1"/>
      <protection hidden="1"/>
    </xf>
    <xf numFmtId="9" fontId="141" fillId="57" borderId="4" xfId="7" applyFont="1" applyFill="1" applyBorder="1" applyAlignment="1" applyProtection="1">
      <alignment horizontal="center" vertical="center" wrapText="1"/>
      <protection hidden="1"/>
    </xf>
    <xf numFmtId="9" fontId="141" fillId="57" borderId="9" xfId="7" applyFont="1" applyFill="1" applyBorder="1" applyAlignment="1" applyProtection="1">
      <alignment horizontal="center" vertical="center" wrapText="1"/>
      <protection hidden="1"/>
    </xf>
    <xf numFmtId="9" fontId="142" fillId="41" borderId="4" xfId="23" applyNumberFormat="1" applyFont="1" applyBorder="1" applyAlignment="1" applyProtection="1">
      <alignment horizontal="center" vertical="center" wrapText="1"/>
      <protection hidden="1"/>
    </xf>
    <xf numFmtId="9" fontId="142" fillId="37" borderId="4" xfId="32" applyNumberFormat="1" applyFont="1" applyBorder="1" applyAlignment="1" applyProtection="1">
      <alignment horizontal="center" vertical="center" wrapText="1"/>
      <protection hidden="1"/>
    </xf>
    <xf numFmtId="9" fontId="144" fillId="56" borderId="4" xfId="7" applyFont="1" applyFill="1" applyBorder="1" applyAlignment="1" applyProtection="1">
      <alignment horizontal="center" vertical="center" wrapText="1"/>
      <protection hidden="1"/>
    </xf>
    <xf numFmtId="0" fontId="58" fillId="0" borderId="0" xfId="5" applyFont="1" applyAlignment="1">
      <alignment horizontal="justify" vertical="center" wrapText="1"/>
    </xf>
    <xf numFmtId="0" fontId="28" fillId="14" borderId="16" xfId="5" applyFont="1" applyFill="1" applyBorder="1" applyAlignment="1" applyProtection="1">
      <alignment horizontal="justify" vertical="center" wrapText="1"/>
      <protection hidden="1"/>
    </xf>
    <xf numFmtId="9" fontId="144" fillId="14" borderId="4" xfId="7" applyFont="1" applyFill="1" applyBorder="1" applyAlignment="1" applyProtection="1">
      <alignment horizontal="center" vertical="center" wrapText="1"/>
      <protection hidden="1"/>
    </xf>
    <xf numFmtId="9" fontId="144" fillId="14" borderId="9" xfId="7" applyFont="1" applyFill="1" applyBorder="1" applyAlignment="1" applyProtection="1">
      <alignment horizontal="center" vertical="center" wrapText="1"/>
      <protection hidden="1"/>
    </xf>
    <xf numFmtId="170" fontId="11" fillId="58" borderId="4" xfId="7" applyNumberFormat="1" applyFont="1" applyFill="1" applyBorder="1" applyAlignment="1" applyProtection="1">
      <alignment horizontal="center" vertical="center"/>
      <protection hidden="1"/>
    </xf>
    <xf numFmtId="0" fontId="145" fillId="13" borderId="0" xfId="5" applyFont="1" applyFill="1" applyAlignment="1">
      <alignment horizontal="center" vertical="center"/>
    </xf>
    <xf numFmtId="9" fontId="71" fillId="0" borderId="0" xfId="2" applyFont="1" applyAlignment="1">
      <alignment vertical="center"/>
    </xf>
    <xf numFmtId="9" fontId="0" fillId="0" borderId="0" xfId="0" applyNumberFormat="1" applyAlignment="1">
      <alignment vertical="center"/>
    </xf>
    <xf numFmtId="0" fontId="6" fillId="50" borderId="102" xfId="5" applyFill="1" applyBorder="1" applyAlignment="1" applyProtection="1">
      <alignment vertical="center"/>
      <protection locked="0"/>
    </xf>
    <xf numFmtId="9" fontId="71" fillId="0" borderId="0" xfId="0" applyNumberFormat="1" applyFont="1" applyAlignment="1">
      <alignment vertical="center"/>
    </xf>
    <xf numFmtId="0" fontId="0" fillId="0" borderId="102" xfId="0" applyBorder="1" applyAlignment="1">
      <alignment vertical="center"/>
    </xf>
    <xf numFmtId="0" fontId="10" fillId="59" borderId="62" xfId="5" applyFont="1" applyFill="1" applyBorder="1" applyAlignment="1" applyProtection="1">
      <alignment horizontal="center" vertical="center" wrapText="1"/>
      <protection hidden="1"/>
    </xf>
    <xf numFmtId="0" fontId="146" fillId="59" borderId="4" xfId="5" applyFont="1" applyFill="1" applyBorder="1" applyAlignment="1" applyProtection="1">
      <alignment horizontal="center" vertical="center"/>
      <protection hidden="1"/>
    </xf>
    <xf numFmtId="0" fontId="47" fillId="50" borderId="26" xfId="5" applyFont="1" applyFill="1" applyBorder="1" applyAlignment="1" applyProtection="1">
      <alignment vertical="center"/>
      <protection locked="0"/>
    </xf>
    <xf numFmtId="0" fontId="0" fillId="0" borderId="103" xfId="0" applyBorder="1" applyAlignment="1">
      <alignment vertical="center"/>
    </xf>
    <xf numFmtId="0" fontId="0" fillId="0" borderId="2" xfId="0" applyBorder="1" applyAlignment="1">
      <alignment vertical="center"/>
    </xf>
    <xf numFmtId="0" fontId="6" fillId="50" borderId="2" xfId="5" applyFill="1" applyBorder="1" applyAlignment="1" applyProtection="1">
      <alignment vertical="center"/>
      <protection locked="0"/>
    </xf>
    <xf numFmtId="0" fontId="10" fillId="59" borderId="123" xfId="5" applyFont="1" applyFill="1" applyBorder="1" applyAlignment="1" applyProtection="1">
      <alignment horizontal="center" vertical="center" wrapText="1"/>
      <protection hidden="1"/>
    </xf>
    <xf numFmtId="0" fontId="146" fillId="59" borderId="22" xfId="5" applyFont="1" applyFill="1" applyBorder="1" applyAlignment="1" applyProtection="1">
      <alignment horizontal="center" vertical="center"/>
      <protection hidden="1"/>
    </xf>
    <xf numFmtId="0" fontId="47" fillId="0" borderId="3" xfId="0" applyFont="1" applyBorder="1" applyAlignment="1">
      <alignment vertical="center"/>
    </xf>
    <xf numFmtId="0" fontId="10" fillId="0" borderId="0" xfId="5" applyFont="1" applyAlignment="1">
      <alignment horizontal="center" vertical="center" wrapText="1"/>
    </xf>
    <xf numFmtId="0" fontId="146" fillId="0" borderId="0" xfId="5" applyFont="1" applyAlignment="1">
      <alignment horizontal="center" vertical="center"/>
    </xf>
    <xf numFmtId="0" fontId="28" fillId="60" borderId="19" xfId="0" applyFont="1" applyFill="1" applyBorder="1" applyAlignment="1" applyProtection="1">
      <alignment horizontal="center" vertical="center"/>
      <protection hidden="1"/>
    </xf>
    <xf numFmtId="0" fontId="28" fillId="60" borderId="5" xfId="0" applyFont="1" applyFill="1" applyBorder="1" applyAlignment="1" applyProtection="1">
      <alignment horizontal="center" vertical="center"/>
      <protection hidden="1"/>
    </xf>
    <xf numFmtId="0" fontId="0" fillId="13" borderId="0" xfId="0" applyFill="1" applyAlignment="1">
      <alignment vertical="center"/>
    </xf>
    <xf numFmtId="0" fontId="10" fillId="13" borderId="0" xfId="5" applyFont="1" applyFill="1" applyAlignment="1">
      <alignment horizontal="center" vertical="center" wrapText="1"/>
    </xf>
    <xf numFmtId="0" fontId="146" fillId="13" borderId="0" xfId="5" applyFont="1" applyFill="1" applyAlignment="1">
      <alignment horizontal="center" vertical="center"/>
    </xf>
    <xf numFmtId="0" fontId="114" fillId="50" borderId="0" xfId="5" applyFont="1" applyFill="1" applyAlignment="1" applyProtection="1">
      <alignment vertical="center"/>
      <protection locked="0"/>
    </xf>
    <xf numFmtId="0" fontId="114" fillId="50" borderId="0" xfId="5" applyFont="1" applyFill="1" applyAlignment="1" applyProtection="1">
      <alignment horizontal="center" vertical="center"/>
      <protection locked="0"/>
    </xf>
    <xf numFmtId="0" fontId="53" fillId="50" borderId="0" xfId="5" applyFont="1" applyFill="1" applyAlignment="1" applyProtection="1">
      <alignment horizontal="center" vertical="center"/>
      <protection locked="0"/>
    </xf>
    <xf numFmtId="0" fontId="35" fillId="36" borderId="18" xfId="33" applyFont="1" applyFill="1" applyBorder="1" applyAlignment="1" applyProtection="1">
      <alignment horizontal="center" vertical="center" wrapText="1"/>
      <protection hidden="1"/>
    </xf>
    <xf numFmtId="0" fontId="35" fillId="36" borderId="22" xfId="33" applyFont="1" applyFill="1" applyBorder="1" applyAlignment="1" applyProtection="1">
      <alignment horizontal="center" vertical="center" wrapText="1"/>
      <protection hidden="1"/>
    </xf>
    <xf numFmtId="0" fontId="114" fillId="4" borderId="4" xfId="5" applyFont="1" applyFill="1" applyBorder="1" applyAlignment="1" applyProtection="1">
      <alignment horizontal="center" vertical="center" wrapText="1"/>
      <protection hidden="1"/>
    </xf>
    <xf numFmtId="0" fontId="148" fillId="4" borderId="4" xfId="5" applyFont="1" applyFill="1" applyBorder="1" applyAlignment="1" applyProtection="1">
      <alignment horizontal="justify" vertical="center" wrapText="1"/>
      <protection hidden="1"/>
    </xf>
    <xf numFmtId="0" fontId="149" fillId="4" borderId="4" xfId="5" applyFont="1" applyFill="1" applyBorder="1" applyAlignment="1" applyProtection="1">
      <alignment horizontal="center" vertical="center" wrapText="1"/>
      <protection hidden="1"/>
    </xf>
    <xf numFmtId="0" fontId="9" fillId="4" borderId="4" xfId="5" applyFont="1" applyFill="1" applyBorder="1" applyAlignment="1" applyProtection="1">
      <alignment horizontal="justify" vertical="center" wrapText="1"/>
      <protection hidden="1"/>
    </xf>
    <xf numFmtId="0" fontId="53" fillId="4" borderId="4" xfId="5" applyFont="1" applyFill="1" applyBorder="1" applyAlignment="1" applyProtection="1">
      <alignment horizontal="center" vertical="center" wrapText="1"/>
      <protection hidden="1"/>
    </xf>
    <xf numFmtId="0" fontId="149" fillId="4" borderId="4" xfId="5" applyFont="1" applyFill="1" applyBorder="1" applyAlignment="1" applyProtection="1">
      <alignment horizontal="justify" vertical="center" wrapText="1"/>
      <protection hidden="1"/>
    </xf>
    <xf numFmtId="10" fontId="108" fillId="15" borderId="17" xfId="5" applyNumberFormat="1" applyFont="1" applyFill="1" applyBorder="1" applyAlignment="1" applyProtection="1">
      <alignment horizontal="center" vertical="center"/>
      <protection locked="0"/>
    </xf>
    <xf numFmtId="0" fontId="27" fillId="4" borderId="4" xfId="5" applyFont="1" applyFill="1" applyBorder="1" applyAlignment="1" applyProtection="1">
      <alignment horizontal="center" vertical="center" wrapText="1"/>
      <protection hidden="1"/>
    </xf>
    <xf numFmtId="0" fontId="9" fillId="4" borderId="4" xfId="5" applyFont="1" applyFill="1" applyBorder="1" applyAlignment="1" applyProtection="1">
      <alignment horizontal="center" vertical="center" wrapText="1"/>
      <protection hidden="1"/>
    </xf>
    <xf numFmtId="10" fontId="28" fillId="15" borderId="17" xfId="5" applyNumberFormat="1" applyFont="1" applyFill="1" applyBorder="1" applyAlignment="1" applyProtection="1">
      <alignment horizontal="center" vertical="center"/>
      <protection locked="0"/>
    </xf>
    <xf numFmtId="0" fontId="148" fillId="15" borderId="4" xfId="5" applyFont="1" applyFill="1" applyBorder="1" applyAlignment="1">
      <alignment horizontal="justify" vertical="center" wrapText="1"/>
    </xf>
    <xf numFmtId="0" fontId="148" fillId="4" borderId="4" xfId="5" applyFont="1" applyFill="1" applyBorder="1" applyAlignment="1" applyProtection="1">
      <alignment horizontal="center" vertical="center" wrapText="1"/>
      <protection hidden="1"/>
    </xf>
    <xf numFmtId="0" fontId="27" fillId="4" borderId="4" xfId="5" applyFont="1" applyFill="1" applyBorder="1" applyAlignment="1" applyProtection="1">
      <alignment horizontal="center" vertical="center" wrapText="1"/>
      <protection locked="0"/>
    </xf>
    <xf numFmtId="0" fontId="149" fillId="4" borderId="4" xfId="5" applyFont="1" applyFill="1" applyBorder="1" applyAlignment="1" applyProtection="1">
      <alignment horizontal="justify" vertical="center" wrapText="1"/>
      <protection locked="0"/>
    </xf>
    <xf numFmtId="0" fontId="148" fillId="15" borderId="4" xfId="5" applyFont="1" applyFill="1" applyBorder="1" applyAlignment="1" applyProtection="1">
      <alignment horizontal="justify" vertical="center" wrapText="1"/>
      <protection locked="0"/>
    </xf>
    <xf numFmtId="0" fontId="149" fillId="4" borderId="4" xfId="5" applyFont="1" applyFill="1" applyBorder="1" applyAlignment="1" applyProtection="1">
      <alignment horizontal="center" vertical="center" wrapText="1"/>
      <protection locked="0"/>
    </xf>
    <xf numFmtId="0" fontId="9" fillId="4" borderId="4" xfId="5" applyFont="1" applyFill="1" applyBorder="1" applyAlignment="1" applyProtection="1">
      <alignment horizontal="justify" vertical="center" wrapText="1"/>
      <protection locked="0"/>
    </xf>
    <xf numFmtId="0" fontId="53" fillId="4" borderId="4" xfId="5" applyFont="1" applyFill="1" applyBorder="1" applyAlignment="1" applyProtection="1">
      <alignment horizontal="center" vertical="center" wrapText="1"/>
      <protection locked="0"/>
    </xf>
    <xf numFmtId="0" fontId="148" fillId="4" borderId="4" xfId="5" applyFont="1" applyFill="1" applyBorder="1" applyAlignment="1" applyProtection="1">
      <alignment horizontal="justify" vertical="center" wrapText="1"/>
      <protection locked="0"/>
    </xf>
    <xf numFmtId="0" fontId="53" fillId="4" borderId="4" xfId="5" applyFont="1" applyFill="1" applyBorder="1" applyAlignment="1" applyProtection="1">
      <alignment horizontal="justify" vertical="center" wrapText="1"/>
      <protection hidden="1"/>
    </xf>
    <xf numFmtId="0" fontId="53" fillId="4" borderId="20" xfId="5" applyFont="1" applyFill="1" applyBorder="1" applyAlignment="1" applyProtection="1">
      <alignment horizontal="center" vertical="center" wrapText="1"/>
      <protection hidden="1"/>
    </xf>
    <xf numFmtId="0" fontId="148" fillId="4" borderId="20" xfId="5" applyFont="1" applyFill="1" applyBorder="1" applyAlignment="1" applyProtection="1">
      <alignment horizontal="center" vertical="center" wrapText="1"/>
      <protection hidden="1"/>
    </xf>
    <xf numFmtId="0" fontId="27" fillId="4" borderId="22" xfId="5" applyFont="1" applyFill="1" applyBorder="1" applyAlignment="1" applyProtection="1">
      <alignment horizontal="center" vertical="center" wrapText="1"/>
      <protection hidden="1"/>
    </xf>
    <xf numFmtId="0" fontId="150" fillId="4" borderId="22" xfId="5" applyFont="1" applyFill="1" applyBorder="1" applyAlignment="1" applyProtection="1">
      <alignment horizontal="center" vertical="center" wrapText="1"/>
      <protection hidden="1"/>
    </xf>
    <xf numFmtId="0" fontId="149" fillId="15" borderId="22" xfId="5" applyFont="1" applyFill="1" applyBorder="1" applyAlignment="1">
      <alignment horizontal="justify" vertical="center" wrapText="1"/>
    </xf>
    <xf numFmtId="0" fontId="149" fillId="4" borderId="22" xfId="5" applyFont="1" applyFill="1" applyBorder="1" applyAlignment="1" applyProtection="1">
      <alignment horizontal="center" vertical="center" wrapText="1"/>
      <protection hidden="1"/>
    </xf>
    <xf numFmtId="0" fontId="9" fillId="4" borderId="22" xfId="5" applyFont="1" applyFill="1" applyBorder="1" applyAlignment="1" applyProtection="1">
      <alignment horizontal="justify" vertical="center" wrapText="1"/>
      <protection hidden="1"/>
    </xf>
    <xf numFmtId="0" fontId="9" fillId="4" borderId="22" xfId="5" applyFont="1" applyFill="1" applyBorder="1" applyAlignment="1" applyProtection="1">
      <alignment horizontal="center" vertical="center" wrapText="1"/>
      <protection hidden="1"/>
    </xf>
    <xf numFmtId="0" fontId="149" fillId="4" borderId="22" xfId="5" applyFont="1" applyFill="1" applyBorder="1" applyAlignment="1" applyProtection="1">
      <alignment horizontal="justify" vertical="center" wrapText="1"/>
      <protection hidden="1"/>
    </xf>
    <xf numFmtId="10" fontId="28" fillId="15" borderId="23" xfId="5" applyNumberFormat="1" applyFont="1" applyFill="1" applyBorder="1" applyAlignment="1" applyProtection="1">
      <alignment horizontal="center" vertical="center"/>
      <protection locked="0"/>
    </xf>
    <xf numFmtId="0" fontId="53" fillId="4" borderId="11" xfId="5" applyFont="1" applyFill="1" applyBorder="1" applyAlignment="1" applyProtection="1">
      <alignment horizontal="center" vertical="center" wrapText="1"/>
      <protection hidden="1"/>
    </xf>
    <xf numFmtId="9" fontId="108" fillId="15" borderId="12" xfId="5" applyNumberFormat="1" applyFont="1" applyFill="1" applyBorder="1" applyAlignment="1" applyProtection="1">
      <alignment horizontal="center" vertical="center"/>
      <protection locked="0"/>
    </xf>
    <xf numFmtId="9" fontId="108" fillId="15" borderId="17" xfId="5" applyNumberFormat="1" applyFont="1" applyFill="1" applyBorder="1" applyAlignment="1" applyProtection="1">
      <alignment horizontal="center" vertical="center"/>
      <protection locked="0"/>
    </xf>
    <xf numFmtId="0" fontId="53" fillId="4" borderId="22" xfId="5" applyFont="1" applyFill="1" applyBorder="1" applyAlignment="1" applyProtection="1">
      <alignment horizontal="center" vertical="center" wrapText="1"/>
      <protection hidden="1"/>
    </xf>
    <xf numFmtId="9" fontId="108" fillId="15" borderId="23" xfId="5" applyNumberFormat="1" applyFont="1" applyFill="1" applyBorder="1" applyAlignment="1" applyProtection="1">
      <alignment horizontal="center" vertical="center"/>
      <protection locked="0"/>
    </xf>
    <xf numFmtId="0" fontId="53" fillId="13" borderId="0" xfId="5" applyFont="1" applyFill="1" applyAlignment="1" applyProtection="1">
      <alignment vertical="center" wrapText="1"/>
      <protection hidden="1"/>
    </xf>
    <xf numFmtId="0" fontId="93" fillId="0" borderId="0" xfId="0" applyFont="1" applyAlignment="1">
      <alignment vertical="center"/>
    </xf>
    <xf numFmtId="0" fontId="0" fillId="0" borderId="102" xfId="0" applyBorder="1" applyAlignment="1" applyProtection="1">
      <alignment vertical="center"/>
      <protection hidden="1"/>
    </xf>
    <xf numFmtId="0" fontId="0" fillId="0" borderId="26" xfId="0" applyBorder="1" applyAlignment="1" applyProtection="1">
      <alignment vertical="center"/>
      <protection hidden="1"/>
    </xf>
    <xf numFmtId="0" fontId="14" fillId="0" borderId="102" xfId="0" applyFont="1" applyBorder="1" applyAlignment="1" applyProtection="1">
      <alignment horizontal="justify" vertical="center"/>
      <protection hidden="1"/>
    </xf>
    <xf numFmtId="0" fontId="151" fillId="0" borderId="102" xfId="0" applyFont="1" applyBorder="1" applyAlignment="1" applyProtection="1">
      <alignment horizontal="left" vertical="center"/>
      <protection hidden="1"/>
    </xf>
    <xf numFmtId="0" fontId="14" fillId="0" borderId="0" xfId="0" applyFont="1" applyAlignment="1">
      <alignment horizontal="justify" vertical="center"/>
    </xf>
    <xf numFmtId="0" fontId="25" fillId="0" borderId="0" xfId="0" applyFont="1" applyAlignment="1">
      <alignment horizontal="justify" vertical="center"/>
    </xf>
    <xf numFmtId="0" fontId="22" fillId="0" borderId="0" xfId="0" applyFont="1" applyAlignment="1" applyProtection="1">
      <alignment vertical="center"/>
      <protection hidden="1"/>
    </xf>
    <xf numFmtId="0" fontId="14" fillId="0" borderId="0" xfId="0" applyFont="1" applyAlignment="1">
      <alignment horizontal="left" vertical="center"/>
    </xf>
    <xf numFmtId="0" fontId="14" fillId="0" borderId="0" xfId="0" applyFont="1" applyAlignment="1">
      <alignment horizontal="center" vertical="center"/>
    </xf>
    <xf numFmtId="0" fontId="25" fillId="0" borderId="0" xfId="0" applyFont="1" applyAlignment="1" applyProtection="1">
      <alignment horizontal="right" vertical="center"/>
      <protection locked="0"/>
    </xf>
    <xf numFmtId="0" fontId="25" fillId="0" borderId="0" xfId="0" applyFont="1" applyAlignment="1" applyProtection="1">
      <alignment horizontal="left" vertical="center"/>
      <protection hidden="1"/>
    </xf>
    <xf numFmtId="0" fontId="25"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14" fillId="13" borderId="0" xfId="0" applyFont="1" applyFill="1" applyAlignment="1" applyProtection="1">
      <alignment vertical="center"/>
      <protection hidden="1"/>
    </xf>
    <xf numFmtId="0" fontId="25" fillId="13" borderId="0" xfId="0" applyFont="1" applyFill="1" applyAlignment="1" applyProtection="1">
      <alignment vertical="center"/>
      <protection hidden="1"/>
    </xf>
    <xf numFmtId="0" fontId="14" fillId="13" borderId="0" xfId="0" applyFont="1" applyFill="1" applyAlignment="1" applyProtection="1">
      <alignment horizontal="left" vertical="center"/>
      <protection locked="0"/>
    </xf>
    <xf numFmtId="0" fontId="35" fillId="13" borderId="0" xfId="0" applyFont="1" applyFill="1" applyAlignment="1" applyProtection="1">
      <alignment horizontal="left" vertical="center"/>
      <protection locked="0"/>
    </xf>
    <xf numFmtId="0" fontId="9" fillId="13" borderId="0" xfId="0" applyFont="1" applyFill="1" applyAlignment="1" applyProtection="1">
      <alignment vertical="center"/>
      <protection hidden="1"/>
    </xf>
    <xf numFmtId="0" fontId="14" fillId="0" borderId="0" xfId="0" applyFont="1" applyAlignment="1" applyProtection="1">
      <alignment horizontal="left" vertical="center"/>
      <protection locked="0"/>
    </xf>
    <xf numFmtId="0" fontId="156" fillId="0" borderId="0" xfId="0" applyFont="1" applyAlignment="1" applyProtection="1">
      <alignment horizontal="center" vertical="center"/>
      <protection hidden="1"/>
    </xf>
    <xf numFmtId="0" fontId="73" fillId="0" borderId="102" xfId="5" applyFont="1" applyBorder="1" applyAlignment="1">
      <alignment vertical="center" textRotation="255" wrapText="1"/>
    </xf>
    <xf numFmtId="43" fontId="14" fillId="0" borderId="0" xfId="18" applyFont="1" applyAlignment="1">
      <alignment vertical="center"/>
    </xf>
    <xf numFmtId="0" fontId="130" fillId="0" borderId="0" xfId="5" applyFont="1" applyAlignment="1">
      <alignment vertical="center" textRotation="255" wrapText="1"/>
    </xf>
    <xf numFmtId="0" fontId="114" fillId="0" borderId="0" xfId="5" applyFont="1" applyAlignment="1">
      <alignment horizontal="center" vertical="center" wrapText="1"/>
    </xf>
    <xf numFmtId="0" fontId="148" fillId="0" borderId="0" xfId="5" applyFont="1" applyAlignment="1">
      <alignment horizontal="justify" vertical="center" wrapText="1"/>
    </xf>
    <xf numFmtId="10" fontId="148" fillId="0" borderId="0" xfId="2" applyNumberFormat="1" applyFont="1" applyFill="1" applyBorder="1" applyAlignment="1">
      <alignment horizontal="center" vertical="center" wrapText="1"/>
    </xf>
    <xf numFmtId="0" fontId="148" fillId="0" borderId="0" xfId="5" applyFont="1" applyAlignment="1">
      <alignment horizontal="center" vertical="center" wrapText="1"/>
    </xf>
    <xf numFmtId="0" fontId="53" fillId="0" borderId="0" xfId="5" applyFont="1" applyAlignment="1">
      <alignment horizontal="justify" vertical="center" wrapText="1"/>
    </xf>
    <xf numFmtId="0" fontId="53" fillId="0" borderId="0" xfId="5" applyFont="1" applyAlignment="1">
      <alignment horizontal="center" vertical="center" wrapText="1"/>
    </xf>
    <xf numFmtId="0" fontId="20" fillId="0" borderId="0" xfId="0" applyFont="1" applyAlignment="1">
      <alignment horizontal="center" vertical="center" wrapText="1"/>
    </xf>
    <xf numFmtId="10" fontId="114" fillId="0" borderId="0" xfId="5" applyNumberFormat="1" applyFont="1" applyAlignment="1">
      <alignment horizontal="center" vertical="center"/>
    </xf>
    <xf numFmtId="0" fontId="130" fillId="0" borderId="99" xfId="5" applyFont="1" applyBorder="1" applyAlignment="1">
      <alignment vertical="center" textRotation="255" wrapText="1"/>
    </xf>
    <xf numFmtId="0" fontId="53" fillId="0" borderId="100" xfId="5" applyFont="1" applyBorder="1" applyAlignment="1">
      <alignment horizontal="justify" vertical="center" wrapText="1"/>
    </xf>
    <xf numFmtId="0" fontId="53" fillId="0" borderId="100" xfId="5" applyFont="1" applyBorder="1" applyAlignment="1">
      <alignment horizontal="center" vertical="center" wrapText="1"/>
    </xf>
    <xf numFmtId="0" fontId="20" fillId="0" borderId="100" xfId="0" applyFont="1" applyBorder="1" applyAlignment="1">
      <alignment horizontal="center" vertical="center" wrapText="1"/>
    </xf>
    <xf numFmtId="10" fontId="114" fillId="0" borderId="100" xfId="5" applyNumberFormat="1" applyFont="1" applyBorder="1" applyAlignment="1">
      <alignment horizontal="center" vertical="center"/>
    </xf>
    <xf numFmtId="0" fontId="14" fillId="0" borderId="100" xfId="0" applyFont="1" applyBorder="1" applyAlignment="1">
      <alignment vertical="center"/>
    </xf>
    <xf numFmtId="0" fontId="14" fillId="0" borderId="101" xfId="0" applyFont="1" applyBorder="1" applyAlignment="1">
      <alignment vertical="center"/>
    </xf>
    <xf numFmtId="0" fontId="25" fillId="0" borderId="102" xfId="0" applyFont="1" applyBorder="1" applyAlignment="1" applyProtection="1">
      <alignment horizontal="left" vertical="center"/>
      <protection hidden="1"/>
    </xf>
    <xf numFmtId="0" fontId="114" fillId="0" borderId="0" xfId="5" applyFont="1" applyAlignment="1">
      <alignment horizontal="justify" vertical="center" wrapText="1"/>
    </xf>
    <xf numFmtId="0" fontId="65" fillId="0" borderId="0" xfId="5" applyFont="1" applyAlignment="1">
      <alignment horizontal="center" vertical="center" textRotation="90" wrapText="1"/>
    </xf>
    <xf numFmtId="10" fontId="108" fillId="0" borderId="0" xfId="5" applyNumberFormat="1" applyFont="1" applyAlignment="1">
      <alignment horizontal="center" vertical="center"/>
    </xf>
    <xf numFmtId="0" fontId="14" fillId="0" borderId="26" xfId="0" applyFont="1" applyBorder="1" applyAlignment="1">
      <alignment vertical="center"/>
    </xf>
    <xf numFmtId="0" fontId="14" fillId="0" borderId="102" xfId="0" applyFont="1" applyBorder="1" applyAlignment="1">
      <alignment vertical="center"/>
    </xf>
    <xf numFmtId="0" fontId="51" fillId="61" borderId="128" xfId="0" applyFont="1" applyFill="1" applyBorder="1" applyAlignment="1">
      <alignment horizontal="center" vertical="center" wrapText="1"/>
    </xf>
    <xf numFmtId="0" fontId="51" fillId="61" borderId="7" xfId="0" applyFont="1" applyFill="1" applyBorder="1" applyAlignment="1">
      <alignment horizontal="center" vertical="center" wrapText="1"/>
    </xf>
    <xf numFmtId="0" fontId="51" fillId="61" borderId="8" xfId="0" applyFont="1" applyFill="1" applyBorder="1" applyAlignment="1">
      <alignment horizontal="center" vertical="center" wrapText="1"/>
    </xf>
    <xf numFmtId="0" fontId="51" fillId="61" borderId="101" xfId="0" applyFont="1" applyFill="1" applyBorder="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159" fillId="61" borderId="4" xfId="0" applyFont="1" applyFill="1" applyBorder="1" applyAlignment="1" applyProtection="1">
      <alignment horizontal="center" vertical="center" wrapText="1"/>
      <protection hidden="1"/>
    </xf>
    <xf numFmtId="0" fontId="25" fillId="0" borderId="0" xfId="0" applyFont="1" applyAlignment="1">
      <alignment vertical="center"/>
    </xf>
    <xf numFmtId="2" fontId="14" fillId="13" borderId="0" xfId="27" applyNumberFormat="1" applyFont="1" applyFill="1" applyBorder="1" applyAlignment="1" applyProtection="1">
      <alignment vertical="center"/>
      <protection hidden="1"/>
    </xf>
    <xf numFmtId="0" fontId="25"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4" fillId="13" borderId="0" xfId="0" applyFont="1" applyFill="1" applyAlignment="1" applyProtection="1">
      <alignment vertical="center" wrapText="1"/>
      <protection hidden="1"/>
    </xf>
    <xf numFmtId="0" fontId="25" fillId="0" borderId="0" xfId="0" applyFont="1"/>
    <xf numFmtId="0" fontId="58" fillId="27" borderId="89" xfId="0" applyFont="1" applyFill="1" applyBorder="1" applyAlignment="1">
      <alignment horizontal="center" wrapText="1"/>
    </xf>
    <xf numFmtId="0" fontId="58" fillId="27" borderId="42" xfId="0" applyFont="1" applyFill="1" applyBorder="1" applyAlignment="1">
      <alignment horizontal="center" wrapText="1"/>
    </xf>
    <xf numFmtId="0" fontId="25" fillId="30" borderId="4" xfId="0" applyFont="1" applyFill="1" applyBorder="1" applyAlignment="1">
      <alignment horizontal="center" vertical="center" wrapText="1"/>
    </xf>
    <xf numFmtId="0" fontId="14" fillId="61" borderId="0" xfId="0" applyFont="1" applyFill="1" applyAlignment="1">
      <alignment horizontal="center" vertical="center"/>
    </xf>
    <xf numFmtId="0" fontId="13" fillId="13" borderId="0" xfId="0" applyFont="1" applyFill="1" applyAlignment="1" applyProtection="1">
      <alignment vertical="top" wrapText="1"/>
      <protection hidden="1"/>
    </xf>
    <xf numFmtId="0" fontId="27" fillId="13" borderId="0" xfId="0" applyFont="1" applyFill="1" applyAlignment="1" applyProtection="1">
      <alignment vertical="top" wrapText="1"/>
      <protection hidden="1"/>
    </xf>
    <xf numFmtId="0" fontId="0" fillId="28" borderId="89" xfId="0" applyFill="1" applyBorder="1"/>
    <xf numFmtId="9" fontId="0" fillId="28" borderId="42" xfId="0" applyNumberFormat="1" applyFill="1" applyBorder="1" applyAlignment="1">
      <alignment horizontal="center"/>
    </xf>
    <xf numFmtId="9" fontId="14" fillId="0" borderId="0" xfId="0" applyNumberFormat="1" applyFont="1" applyAlignment="1">
      <alignment horizontal="center"/>
    </xf>
    <xf numFmtId="0" fontId="0" fillId="28" borderId="42" xfId="0" applyFill="1" applyBorder="1"/>
    <xf numFmtId="0" fontId="47" fillId="30" borderId="14" xfId="0" applyFont="1" applyFill="1" applyBorder="1" applyAlignment="1" applyProtection="1">
      <alignment vertical="center" wrapText="1"/>
      <protection locked="0" hidden="1"/>
    </xf>
    <xf numFmtId="0" fontId="35" fillId="0" borderId="4" xfId="0" applyFont="1" applyBorder="1" applyAlignment="1" applyProtection="1">
      <alignment horizontal="left" vertical="center" wrapText="1"/>
      <protection hidden="1"/>
    </xf>
    <xf numFmtId="0" fontId="47" fillId="30" borderId="14" xfId="0" applyFont="1" applyFill="1" applyBorder="1" applyAlignment="1">
      <alignment vertical="center" wrapText="1"/>
    </xf>
    <xf numFmtId="0" fontId="47" fillId="0" borderId="14" xfId="0" applyFont="1" applyBorder="1" applyAlignment="1">
      <alignment vertical="center" wrapText="1"/>
    </xf>
    <xf numFmtId="0" fontId="47" fillId="15" borderId="14" xfId="0" applyFont="1" applyFill="1" applyBorder="1" applyAlignment="1">
      <alignment vertical="center" wrapText="1"/>
    </xf>
    <xf numFmtId="9" fontId="0" fillId="0" borderId="0" xfId="2" applyFont="1" applyAlignment="1">
      <alignment horizontal="center" vertical="center"/>
    </xf>
    <xf numFmtId="0" fontId="59" fillId="0" borderId="0" xfId="0" applyFont="1"/>
    <xf numFmtId="0" fontId="14" fillId="15" borderId="0" xfId="0" applyFont="1" applyFill="1" applyAlignment="1">
      <alignment horizontal="center" vertical="center" wrapText="1"/>
    </xf>
    <xf numFmtId="0" fontId="30" fillId="0" borderId="4" xfId="0" applyFont="1" applyBorder="1" applyAlignment="1">
      <alignment horizontal="left" vertical="center" wrapText="1"/>
    </xf>
    <xf numFmtId="0" fontId="59" fillId="0" borderId="0" xfId="0" applyFont="1" applyAlignment="1">
      <alignment horizontal="left"/>
    </xf>
    <xf numFmtId="0" fontId="0" fillId="0" borderId="0" xfId="0" applyAlignment="1">
      <alignment horizontal="left"/>
    </xf>
    <xf numFmtId="0" fontId="14" fillId="0" borderId="0" xfId="0" applyFont="1" applyAlignment="1">
      <alignment horizontal="center"/>
    </xf>
    <xf numFmtId="0" fontId="0" fillId="0" borderId="42" xfId="0" applyBorder="1"/>
    <xf numFmtId="0" fontId="47" fillId="30" borderId="4" xfId="0" applyFont="1" applyFill="1" applyBorder="1" applyAlignment="1">
      <alignment vertical="center" wrapText="1"/>
    </xf>
    <xf numFmtId="9" fontId="0" fillId="0" borderId="42" xfId="0" applyNumberFormat="1" applyBorder="1" applyAlignment="1">
      <alignment horizontal="center"/>
    </xf>
    <xf numFmtId="0" fontId="59" fillId="5" borderId="0" xfId="0" applyFont="1" applyFill="1" applyAlignment="1">
      <alignment horizontal="left"/>
    </xf>
    <xf numFmtId="0" fontId="0" fillId="0" borderId="89" xfId="0" applyBorder="1"/>
    <xf numFmtId="0" fontId="47" fillId="30" borderId="0" xfId="0" applyFont="1" applyFill="1" applyAlignment="1">
      <alignment vertical="center" wrapText="1"/>
    </xf>
    <xf numFmtId="0" fontId="47" fillId="30" borderId="14" xfId="0" applyFont="1" applyFill="1" applyBorder="1" applyAlignment="1" applyProtection="1">
      <alignment vertical="center" wrapText="1"/>
      <protection locked="0"/>
    </xf>
    <xf numFmtId="0" fontId="0" fillId="5" borderId="0" xfId="0" applyFill="1"/>
    <xf numFmtId="0" fontId="0" fillId="5" borderId="0" xfId="0" applyFill="1" applyAlignment="1">
      <alignment horizontal="left"/>
    </xf>
    <xf numFmtId="0" fontId="47" fillId="0" borderId="14" xfId="0" applyFont="1" applyBorder="1" applyAlignment="1" applyProtection="1">
      <alignment vertical="center" wrapText="1"/>
      <protection locked="0"/>
    </xf>
    <xf numFmtId="0" fontId="47" fillId="0" borderId="0" xfId="0" applyFont="1" applyAlignment="1">
      <alignment wrapText="1"/>
    </xf>
    <xf numFmtId="0" fontId="47" fillId="0" borderId="0" xfId="0" applyFont="1"/>
    <xf numFmtId="0" fontId="47" fillId="0" borderId="0" xfId="0" applyFont="1" applyAlignment="1">
      <alignment horizontal="left" vertical="center"/>
    </xf>
    <xf numFmtId="0" fontId="59" fillId="0" borderId="4" xfId="0" applyFont="1" applyBorder="1" applyAlignment="1">
      <alignment vertical="center" wrapText="1"/>
    </xf>
    <xf numFmtId="175" fontId="0" fillId="0" borderId="9" xfId="26" applyNumberFormat="1" applyFont="1" applyBorder="1" applyAlignment="1" applyProtection="1">
      <alignment vertical="center" wrapText="1"/>
      <protection locked="0"/>
    </xf>
    <xf numFmtId="0" fontId="14" fillId="0" borderId="4" xfId="0" applyFont="1" applyBorder="1" applyAlignment="1">
      <alignment vertical="center" wrapText="1"/>
    </xf>
    <xf numFmtId="10" fontId="0" fillId="0" borderId="4" xfId="0" applyNumberFormat="1" applyBorder="1" applyAlignment="1">
      <alignment vertical="center" wrapText="1"/>
    </xf>
    <xf numFmtId="0" fontId="14" fillId="0" borderId="0" xfId="0" applyFont="1" applyAlignment="1">
      <alignment vertical="center" wrapText="1"/>
    </xf>
    <xf numFmtId="175" fontId="0" fillId="0" borderId="4" xfId="26" applyNumberFormat="1" applyFont="1" applyBorder="1" applyAlignment="1" applyProtection="1">
      <alignment vertical="center" wrapText="1"/>
      <protection locked="0"/>
    </xf>
    <xf numFmtId="175" fontId="0" fillId="0" borderId="0" xfId="26" applyNumberFormat="1" applyFont="1" applyBorder="1" applyAlignment="1" applyProtection="1">
      <alignment vertical="center" wrapText="1"/>
      <protection locked="0"/>
    </xf>
    <xf numFmtId="0" fontId="22" fillId="0" borderId="0" xfId="5" applyFont="1" applyAlignment="1" applyProtection="1">
      <alignment vertical="center"/>
      <protection locked="0"/>
    </xf>
    <xf numFmtId="0" fontId="25" fillId="0" borderId="0" xfId="0" applyFont="1" applyAlignment="1" applyProtection="1">
      <alignment horizontal="left" vertical="center" wrapText="1"/>
      <protection hidden="1"/>
    </xf>
    <xf numFmtId="0" fontId="14" fillId="0" borderId="13" xfId="0" applyFont="1" applyBorder="1"/>
    <xf numFmtId="0" fontId="66" fillId="0" borderId="13" xfId="0" applyFont="1" applyBorder="1"/>
    <xf numFmtId="9" fontId="66" fillId="0" borderId="0" xfId="2" applyFont="1"/>
    <xf numFmtId="10" fontId="66" fillId="0" borderId="0" xfId="2" applyNumberFormat="1" applyFont="1"/>
    <xf numFmtId="9" fontId="28" fillId="15" borderId="22" xfId="7" applyFont="1" applyFill="1" applyBorder="1" applyAlignment="1" applyProtection="1">
      <alignment horizontal="center" vertical="center" wrapText="1"/>
      <protection hidden="1"/>
    </xf>
    <xf numFmtId="10" fontId="161" fillId="0" borderId="0" xfId="2" applyNumberFormat="1" applyFont="1"/>
    <xf numFmtId="0" fontId="108" fillId="0" borderId="102" xfId="5" applyFont="1" applyBorder="1" applyAlignment="1" applyProtection="1">
      <alignment horizontal="center" vertical="center" wrapText="1"/>
      <protection hidden="1"/>
    </xf>
    <xf numFmtId="0" fontId="108" fillId="0" borderId="0" xfId="5" applyFont="1" applyAlignment="1" applyProtection="1">
      <alignment horizontal="center" vertical="center" wrapText="1"/>
      <protection hidden="1"/>
    </xf>
    <xf numFmtId="9" fontId="108" fillId="0" borderId="46" xfId="5" applyNumberFormat="1" applyFont="1" applyBorder="1" applyAlignment="1" applyProtection="1">
      <alignment horizontal="center" vertical="center" wrapText="1"/>
      <protection hidden="1"/>
    </xf>
    <xf numFmtId="0" fontId="131" fillId="0" borderId="0" xfId="5" applyFont="1" applyAlignment="1" applyProtection="1">
      <alignment horizontal="center" vertical="center" wrapText="1"/>
      <protection hidden="1"/>
    </xf>
    <xf numFmtId="167" fontId="43" fillId="0" borderId="0" xfId="24" applyNumberFormat="1" applyFont="1" applyFill="1" applyBorder="1" applyAlignment="1" applyProtection="1">
      <alignment horizontal="center" vertical="center"/>
      <protection hidden="1"/>
    </xf>
    <xf numFmtId="170" fontId="27" fillId="0" borderId="0" xfId="7" applyNumberFormat="1" applyFont="1" applyFill="1" applyBorder="1" applyAlignment="1" applyProtection="1">
      <alignment horizontal="center" vertical="center"/>
      <protection hidden="1"/>
    </xf>
    <xf numFmtId="170" fontId="113" fillId="0" borderId="0" xfId="5" applyNumberFormat="1" applyFont="1" applyAlignment="1" applyProtection="1">
      <alignment horizontal="center" vertical="center"/>
      <protection hidden="1"/>
    </xf>
    <xf numFmtId="0" fontId="51" fillId="0" borderId="0" xfId="5" applyFont="1" applyAlignment="1" applyProtection="1">
      <alignment horizontal="center" vertical="center"/>
      <protection hidden="1"/>
    </xf>
    <xf numFmtId="170" fontId="28" fillId="10" borderId="23" xfId="24" applyNumberFormat="1" applyFont="1" applyFill="1" applyBorder="1" applyAlignment="1" applyProtection="1">
      <alignment horizontal="center" vertical="center" wrapText="1"/>
      <protection hidden="1"/>
    </xf>
    <xf numFmtId="0" fontId="108" fillId="56" borderId="102" xfId="5" applyFont="1" applyFill="1" applyBorder="1" applyAlignment="1" applyProtection="1">
      <alignment horizontal="center" vertical="center" wrapText="1"/>
      <protection hidden="1"/>
    </xf>
    <xf numFmtId="0" fontId="14" fillId="0" borderId="0" xfId="5" applyFont="1" applyAlignment="1" applyProtection="1">
      <alignment horizontal="center" vertical="center"/>
      <protection hidden="1"/>
    </xf>
    <xf numFmtId="0" fontId="162" fillId="0" borderId="0" xfId="5" applyFont="1" applyProtection="1">
      <protection locked="0"/>
    </xf>
    <xf numFmtId="0" fontId="163" fillId="0" borderId="0" xfId="5" applyFont="1" applyAlignment="1">
      <alignment horizontal="left" vertical="center" wrapText="1"/>
    </xf>
    <xf numFmtId="0" fontId="20" fillId="0" borderId="0" xfId="5" applyFont="1" applyProtection="1">
      <protection locked="0"/>
    </xf>
    <xf numFmtId="0" fontId="20" fillId="0" borderId="0" xfId="5" applyFont="1" applyAlignment="1" applyProtection="1">
      <alignment horizontal="center"/>
      <protection locked="0"/>
    </xf>
    <xf numFmtId="0" fontId="20" fillId="0" borderId="0" xfId="5" applyFont="1" applyAlignment="1" applyProtection="1">
      <alignment vertical="center"/>
      <protection locked="0"/>
    </xf>
    <xf numFmtId="0" fontId="19" fillId="0" borderId="0" xfId="5" applyFont="1" applyAlignment="1" applyProtection="1">
      <alignment horizontal="center"/>
      <protection locked="0"/>
    </xf>
    <xf numFmtId="9" fontId="162" fillId="0" borderId="0" xfId="5" applyNumberFormat="1" applyFont="1" applyProtection="1">
      <protection locked="0"/>
    </xf>
    <xf numFmtId="0" fontId="47" fillId="0" borderId="0" xfId="5" applyFont="1" applyProtection="1">
      <protection locked="0"/>
    </xf>
    <xf numFmtId="0" fontId="19" fillId="0" borderId="0" xfId="0" applyFont="1" applyAlignment="1" applyProtection="1">
      <alignment horizontal="left" vertical="center"/>
      <protection hidden="1"/>
    </xf>
    <xf numFmtId="0" fontId="8" fillId="0" borderId="0" xfId="9"/>
    <xf numFmtId="0" fontId="65" fillId="0" borderId="33" xfId="5" applyFont="1" applyBorder="1" applyAlignment="1">
      <alignment vertical="center" wrapText="1"/>
    </xf>
    <xf numFmtId="0" fontId="28" fillId="36" borderId="4" xfId="5" applyFont="1" applyFill="1" applyBorder="1" applyAlignment="1">
      <alignment horizontal="center" vertical="center" wrapText="1"/>
    </xf>
    <xf numFmtId="9" fontId="114" fillId="65" borderId="4" xfId="7" applyFont="1" applyFill="1" applyBorder="1" applyAlignment="1" applyProtection="1">
      <alignment horizontal="center" vertical="center"/>
    </xf>
    <xf numFmtId="0" fontId="28" fillId="52" borderId="62" xfId="9" applyFont="1" applyFill="1" applyBorder="1" applyAlignment="1" applyProtection="1">
      <alignment horizontal="center" vertical="center" wrapText="1"/>
      <protection hidden="1"/>
    </xf>
    <xf numFmtId="0" fontId="28" fillId="52" borderId="4" xfId="9" applyFont="1" applyFill="1" applyBorder="1" applyAlignment="1" applyProtection="1">
      <alignment horizontal="center" vertical="center" wrapText="1"/>
      <protection hidden="1"/>
    </xf>
    <xf numFmtId="1" fontId="29" fillId="16" borderId="62" xfId="6" applyNumberFormat="1" applyFont="1" applyFill="1" applyBorder="1" applyAlignment="1">
      <alignment horizontal="center" vertical="center"/>
    </xf>
    <xf numFmtId="170" fontId="11" fillId="5" borderId="4" xfId="2" applyNumberFormat="1" applyFont="1" applyFill="1" applyBorder="1" applyAlignment="1" applyProtection="1">
      <alignment horizontal="center" vertical="center"/>
      <protection locked="0"/>
    </xf>
    <xf numFmtId="170" fontId="11" fillId="65" borderId="4" xfId="7" applyNumberFormat="1" applyFont="1" applyFill="1" applyBorder="1" applyAlignment="1">
      <alignment horizontal="center" vertical="center"/>
    </xf>
    <xf numFmtId="0" fontId="108" fillId="66" borderId="4" xfId="9" applyFont="1" applyFill="1" applyBorder="1" applyAlignment="1">
      <alignment horizontal="center" vertical="center"/>
    </xf>
    <xf numFmtId="9" fontId="108" fillId="66" borderId="4" xfId="7" applyFont="1" applyFill="1" applyBorder="1" applyAlignment="1" applyProtection="1">
      <alignment horizontal="center" vertical="center"/>
    </xf>
    <xf numFmtId="170" fontId="108" fillId="0" borderId="0" xfId="7" applyNumberFormat="1" applyFont="1" applyFill="1" applyBorder="1" applyAlignment="1" applyProtection="1">
      <alignment horizontal="center" vertical="center"/>
    </xf>
    <xf numFmtId="0" fontId="108" fillId="0" borderId="0" xfId="5" applyFont="1" applyAlignment="1">
      <alignment horizontal="center"/>
    </xf>
    <xf numFmtId="0" fontId="114" fillId="0" borderId="0" xfId="9" applyFont="1"/>
    <xf numFmtId="43" fontId="108" fillId="30" borderId="0" xfId="18" applyFont="1" applyFill="1" applyBorder="1" applyAlignment="1">
      <alignment horizontal="center"/>
    </xf>
    <xf numFmtId="0" fontId="146" fillId="0" borderId="0" xfId="5" applyFont="1" applyAlignment="1">
      <alignment horizontal="center"/>
    </xf>
    <xf numFmtId="0" fontId="53" fillId="50" borderId="0" xfId="5" applyFont="1" applyFill="1" applyProtection="1">
      <protection locked="0"/>
    </xf>
    <xf numFmtId="0" fontId="35" fillId="13" borderId="24" xfId="33" applyFont="1" applyFill="1" applyBorder="1" applyAlignment="1">
      <alignment horizontal="center" vertical="center" wrapText="1"/>
    </xf>
    <xf numFmtId="0" fontId="5" fillId="20" borderId="4" xfId="5" applyFont="1" applyFill="1" applyBorder="1" applyAlignment="1" applyProtection="1">
      <alignment horizontal="center" vertical="center"/>
      <protection locked="0"/>
    </xf>
    <xf numFmtId="0" fontId="21" fillId="0" borderId="0" xfId="0" applyFont="1" applyAlignment="1" applyProtection="1">
      <alignment horizontal="center" vertical="center"/>
      <protection hidden="1"/>
    </xf>
    <xf numFmtId="0" fontId="14" fillId="0" borderId="0" xfId="0" applyFont="1" applyAlignment="1" applyProtection="1">
      <alignment horizontal="right" vertical="center"/>
      <protection locked="0"/>
    </xf>
    <xf numFmtId="0" fontId="51" fillId="61" borderId="101" xfId="0" applyFont="1" applyFill="1" applyBorder="1" applyAlignment="1" applyProtection="1">
      <alignment vertical="center"/>
      <protection hidden="1"/>
    </xf>
    <xf numFmtId="0" fontId="14" fillId="0" borderId="3" xfId="0" applyFont="1" applyBorder="1" applyAlignment="1" applyProtection="1">
      <alignment horizontal="center" vertical="center"/>
      <protection hidden="1"/>
    </xf>
    <xf numFmtId="0" fontId="51" fillId="61" borderId="22" xfId="0" applyFont="1" applyFill="1" applyBorder="1" applyAlignment="1" applyProtection="1">
      <alignment horizontal="center" vertical="center" wrapText="1"/>
      <protection hidden="1"/>
    </xf>
    <xf numFmtId="10" fontId="25" fillId="0" borderId="4" xfId="2" applyNumberFormat="1" applyFont="1" applyBorder="1" applyAlignment="1" applyProtection="1">
      <alignment vertical="center"/>
      <protection hidden="1"/>
    </xf>
    <xf numFmtId="43" fontId="25" fillId="13" borderId="4" xfId="0" applyNumberFormat="1" applyFont="1" applyFill="1" applyBorder="1" applyAlignment="1" applyProtection="1">
      <alignment vertical="center"/>
      <protection hidden="1"/>
    </xf>
    <xf numFmtId="0" fontId="25" fillId="0" borderId="4" xfId="0" applyFont="1" applyBorder="1" applyAlignment="1" applyProtection="1">
      <alignment horizontal="center" vertical="center"/>
      <protection hidden="1"/>
    </xf>
    <xf numFmtId="10" fontId="14" fillId="0" borderId="4" xfId="2" applyNumberFormat="1" applyFont="1" applyBorder="1" applyAlignment="1" applyProtection="1">
      <alignment vertical="center"/>
      <protection hidden="1"/>
    </xf>
    <xf numFmtId="43" fontId="14" fillId="13" borderId="4" xfId="0" applyNumberFormat="1" applyFont="1" applyFill="1" applyBorder="1" applyAlignment="1" applyProtection="1">
      <alignment vertical="center"/>
      <protection hidden="1"/>
    </xf>
    <xf numFmtId="10" fontId="25" fillId="0" borderId="11" xfId="2" applyNumberFormat="1" applyFont="1" applyBorder="1" applyAlignment="1" applyProtection="1">
      <alignment vertical="center"/>
      <protection hidden="1"/>
    </xf>
    <xf numFmtId="43" fontId="25" fillId="13" borderId="11" xfId="0" applyNumberFormat="1" applyFont="1" applyFill="1" applyBorder="1" applyAlignment="1" applyProtection="1">
      <alignment vertical="center"/>
      <protection hidden="1"/>
    </xf>
    <xf numFmtId="0" fontId="33" fillId="0" borderId="4" xfId="0" applyFont="1" applyBorder="1" applyAlignment="1">
      <alignment horizontal="left" vertical="center" wrapText="1"/>
    </xf>
    <xf numFmtId="0" fontId="30" fillId="0" borderId="4" xfId="0" applyFont="1" applyBorder="1" applyAlignment="1">
      <alignment vertical="center" wrapText="1"/>
    </xf>
    <xf numFmtId="0" fontId="47" fillId="0" borderId="0" xfId="0" applyFont="1" applyAlignment="1" applyProtection="1">
      <alignment horizontal="left" vertical="center" wrapText="1"/>
      <protection hidden="1"/>
    </xf>
    <xf numFmtId="49" fontId="25" fillId="13" borderId="0" xfId="0" applyNumberFormat="1" applyFont="1" applyFill="1" applyAlignment="1" applyProtection="1">
      <alignment horizontal="left" vertical="center" wrapText="1"/>
      <protection hidden="1"/>
    </xf>
    <xf numFmtId="0" fontId="35" fillId="0" borderId="0" xfId="0" applyFont="1" applyAlignment="1" applyProtection="1">
      <alignment horizontal="left" vertical="center" wrapText="1"/>
      <protection hidden="1"/>
    </xf>
    <xf numFmtId="0" fontId="37" fillId="68" borderId="4" xfId="0" applyFont="1" applyFill="1" applyBorder="1" applyAlignment="1">
      <alignment horizontal="center" vertical="center" wrapText="1"/>
    </xf>
    <xf numFmtId="0" fontId="166" fillId="68" borderId="4" xfId="0" applyFont="1" applyFill="1" applyBorder="1" applyAlignment="1">
      <alignment horizontal="center" vertical="center" wrapText="1"/>
    </xf>
    <xf numFmtId="0" fontId="37" fillId="68" borderId="9" xfId="0" applyFont="1" applyFill="1" applyBorder="1" applyAlignment="1">
      <alignment horizontal="center" vertical="center" wrapText="1"/>
    </xf>
    <xf numFmtId="0" fontId="14" fillId="0" borderId="4" xfId="5" applyFont="1" applyBorder="1" applyAlignment="1" applyProtection="1">
      <alignment horizontal="center" vertical="center"/>
      <protection hidden="1"/>
    </xf>
    <xf numFmtId="0" fontId="7" fillId="2" borderId="4" xfId="20" applyBorder="1" applyAlignment="1">
      <alignment horizontal="center" vertical="center"/>
    </xf>
    <xf numFmtId="0" fontId="165" fillId="63" borderId="4" xfId="36" applyBorder="1" applyAlignment="1">
      <alignment horizontal="center" vertical="center"/>
    </xf>
    <xf numFmtId="0" fontId="14" fillId="0" borderId="4" xfId="5" applyFont="1" applyBorder="1" applyProtection="1">
      <protection hidden="1"/>
    </xf>
    <xf numFmtId="0" fontId="57" fillId="3" borderId="4" xfId="35" applyFont="1" applyBorder="1" applyAlignment="1">
      <alignment horizontal="center" vertical="center"/>
    </xf>
    <xf numFmtId="0" fontId="57" fillId="20" borderId="4" xfId="35" applyFont="1" applyFill="1" applyBorder="1" applyAlignment="1">
      <alignment horizontal="center" vertical="center"/>
    </xf>
    <xf numFmtId="0" fontId="165" fillId="63" borderId="4" xfId="36" applyBorder="1" applyAlignment="1">
      <alignment horizontal="center" vertical="center" wrapText="1"/>
    </xf>
    <xf numFmtId="0" fontId="167" fillId="63" borderId="4" xfId="36" applyFont="1" applyBorder="1" applyAlignment="1">
      <alignment horizontal="center" vertical="center"/>
    </xf>
    <xf numFmtId="0" fontId="14" fillId="0" borderId="13" xfId="0" applyFont="1" applyBorder="1" applyAlignment="1" applyProtection="1">
      <alignment horizontal="left" vertical="center"/>
      <protection locked="0"/>
    </xf>
    <xf numFmtId="0" fontId="14" fillId="0" borderId="33" xfId="0" applyFont="1" applyBorder="1" applyAlignment="1" applyProtection="1">
      <alignment horizontal="left" vertical="center"/>
      <protection locked="0"/>
    </xf>
    <xf numFmtId="0" fontId="25" fillId="5" borderId="49" xfId="5" applyFont="1" applyFill="1" applyBorder="1" applyAlignment="1" applyProtection="1">
      <alignment horizontal="center" vertical="center" wrapText="1"/>
      <protection hidden="1"/>
    </xf>
    <xf numFmtId="0" fontId="162" fillId="0" borderId="0" xfId="5" applyFont="1" applyAlignment="1" applyProtection="1">
      <alignment horizontal="center" vertical="center"/>
      <protection locked="0"/>
    </xf>
    <xf numFmtId="0" fontId="168" fillId="2" borderId="4" xfId="20" applyFont="1" applyBorder="1" applyAlignment="1">
      <alignment horizontal="center" vertical="center"/>
    </xf>
    <xf numFmtId="0" fontId="169" fillId="3" borderId="4" xfId="35" applyFont="1" applyBorder="1" applyAlignment="1">
      <alignment horizontal="center" vertical="center"/>
    </xf>
    <xf numFmtId="0" fontId="66" fillId="20" borderId="0" xfId="0" applyFont="1" applyFill="1" applyProtection="1">
      <protection hidden="1"/>
    </xf>
    <xf numFmtId="10" fontId="108" fillId="15" borderId="47" xfId="7" applyNumberFormat="1" applyFont="1" applyFill="1" applyBorder="1" applyAlignment="1" applyProtection="1">
      <alignment horizontal="center" vertical="center"/>
      <protection hidden="1"/>
    </xf>
    <xf numFmtId="10" fontId="114" fillId="36" borderId="126" xfId="7" applyNumberFormat="1" applyFont="1" applyFill="1" applyBorder="1" applyAlignment="1" applyProtection="1">
      <alignment horizontal="center"/>
      <protection hidden="1"/>
    </xf>
    <xf numFmtId="10" fontId="10" fillId="13" borderId="4" xfId="2" applyNumberFormat="1" applyFont="1" applyFill="1" applyBorder="1" applyAlignment="1" applyProtection="1">
      <alignment horizontal="center" vertical="center" wrapText="1"/>
      <protection hidden="1"/>
    </xf>
    <xf numFmtId="0" fontId="33" fillId="0" borderId="4" xfId="0" applyFont="1" applyBorder="1" applyAlignment="1">
      <alignment horizontal="left" vertical="center"/>
    </xf>
    <xf numFmtId="0" fontId="30" fillId="0" borderId="4" xfId="0" applyFont="1" applyBorder="1" applyAlignment="1">
      <alignment horizontal="left" vertical="center"/>
    </xf>
    <xf numFmtId="0" fontId="33" fillId="0" borderId="4" xfId="0" applyFont="1" applyBorder="1" applyAlignment="1">
      <alignment vertical="center" wrapText="1"/>
    </xf>
    <xf numFmtId="43" fontId="25" fillId="0" borderId="4" xfId="0" applyNumberFormat="1" applyFont="1" applyBorder="1" applyAlignment="1" applyProtection="1">
      <alignment vertical="center"/>
      <protection hidden="1"/>
    </xf>
    <xf numFmtId="43" fontId="14" fillId="0" borderId="4" xfId="0" applyNumberFormat="1" applyFont="1" applyBorder="1" applyAlignment="1" applyProtection="1">
      <alignment vertical="center"/>
      <protection hidden="1"/>
    </xf>
    <xf numFmtId="0" fontId="172" fillId="0" borderId="0" xfId="0" applyFont="1" applyAlignment="1" applyProtection="1">
      <alignment vertical="center"/>
      <protection hidden="1"/>
    </xf>
    <xf numFmtId="0" fontId="173" fillId="13" borderId="0" xfId="0" applyFont="1" applyFill="1" applyAlignment="1" applyProtection="1">
      <alignment vertical="center"/>
      <protection hidden="1"/>
    </xf>
    <xf numFmtId="179" fontId="172" fillId="0" borderId="45" xfId="0" applyNumberFormat="1" applyFont="1" applyBorder="1" applyProtection="1">
      <protection locked="0"/>
    </xf>
    <xf numFmtId="179" fontId="172" fillId="0" borderId="0" xfId="0" applyNumberFormat="1" applyFont="1" applyProtection="1">
      <protection locked="0"/>
    </xf>
    <xf numFmtId="0" fontId="172" fillId="0" borderId="0" xfId="0" applyFont="1" applyAlignment="1" applyProtection="1">
      <alignment horizontal="center"/>
      <protection locked="0"/>
    </xf>
    <xf numFmtId="0" fontId="93" fillId="0" borderId="0" xfId="0" applyFont="1" applyAlignment="1" applyProtection="1">
      <alignment vertical="center"/>
      <protection hidden="1"/>
    </xf>
    <xf numFmtId="0" fontId="174" fillId="0" borderId="0" xfId="0" applyFont="1" applyAlignment="1">
      <alignment horizontal="center" vertical="center"/>
    </xf>
    <xf numFmtId="0" fontId="174" fillId="13" borderId="0" xfId="0" applyFont="1" applyFill="1" applyAlignment="1" applyProtection="1">
      <alignment horizontal="center" vertical="center"/>
      <protection locked="0" hidden="1"/>
    </xf>
    <xf numFmtId="0" fontId="173" fillId="0" borderId="45" xfId="0" applyFont="1" applyBorder="1" applyAlignment="1" applyProtection="1">
      <alignment vertical="center"/>
      <protection hidden="1"/>
    </xf>
    <xf numFmtId="0" fontId="173" fillId="0" borderId="0" xfId="0" applyFont="1" applyAlignment="1" applyProtection="1">
      <alignment vertical="center"/>
      <protection hidden="1"/>
    </xf>
    <xf numFmtId="0" fontId="172" fillId="0" borderId="45" xfId="0" applyFont="1" applyBorder="1" applyAlignment="1" applyProtection="1">
      <alignment vertical="center" wrapText="1"/>
      <protection hidden="1"/>
    </xf>
    <xf numFmtId="0" fontId="175" fillId="0" borderId="0" xfId="0" applyFont="1" applyAlignment="1" applyProtection="1">
      <alignment horizontal="justify" vertical="center" wrapText="1"/>
      <protection hidden="1"/>
    </xf>
    <xf numFmtId="0" fontId="172" fillId="0" borderId="0" xfId="0" applyFont="1" applyAlignment="1" applyProtection="1">
      <alignment vertical="center" wrapText="1"/>
      <protection hidden="1"/>
    </xf>
    <xf numFmtId="0" fontId="172" fillId="0" borderId="0" xfId="0" applyFont="1" applyAlignment="1" applyProtection="1">
      <alignment horizontal="justify" vertical="center" wrapText="1"/>
      <protection hidden="1"/>
    </xf>
    <xf numFmtId="0" fontId="172" fillId="0" borderId="0" xfId="0" applyFont="1" applyAlignment="1">
      <alignment vertical="center"/>
    </xf>
    <xf numFmtId="8" fontId="93" fillId="0" borderId="0" xfId="0" applyNumberFormat="1" applyFont="1"/>
    <xf numFmtId="0" fontId="93" fillId="0" borderId="0" xfId="0" applyFont="1" applyAlignment="1" applyProtection="1">
      <alignment horizontal="center" vertical="center"/>
      <protection hidden="1"/>
    </xf>
    <xf numFmtId="167" fontId="93" fillId="0" borderId="0" xfId="18" applyNumberFormat="1" applyFont="1" applyAlignment="1" applyProtection="1">
      <alignment horizontal="center" vertical="center" wrapText="1"/>
      <protection hidden="1"/>
    </xf>
    <xf numFmtId="43" fontId="172" fillId="0" borderId="0" xfId="18" applyFont="1" applyAlignment="1" applyProtection="1">
      <alignment vertical="center"/>
      <protection hidden="1"/>
    </xf>
    <xf numFmtId="7" fontId="172" fillId="0" borderId="0" xfId="0" applyNumberFormat="1" applyFont="1" applyAlignment="1" applyProtection="1">
      <alignment vertical="center"/>
      <protection hidden="1"/>
    </xf>
    <xf numFmtId="0" fontId="175" fillId="13" borderId="0" xfId="0" applyFont="1" applyFill="1" applyAlignment="1" applyProtection="1">
      <alignment vertical="center"/>
      <protection locked="0" hidden="1"/>
    </xf>
    <xf numFmtId="0" fontId="175" fillId="0" borderId="0" xfId="0" applyFont="1" applyAlignment="1" applyProtection="1">
      <alignment vertical="center"/>
      <protection hidden="1"/>
    </xf>
    <xf numFmtId="0" fontId="172" fillId="0" borderId="0" xfId="0" applyFont="1" applyProtection="1">
      <protection hidden="1"/>
    </xf>
    <xf numFmtId="0" fontId="177" fillId="0" borderId="0" xfId="0" applyFont="1" applyAlignment="1" applyProtection="1">
      <alignment horizontal="justify" vertical="top" wrapText="1"/>
      <protection locked="0"/>
    </xf>
    <xf numFmtId="0" fontId="177" fillId="0" borderId="0" xfId="0" applyFont="1" applyAlignment="1" applyProtection="1">
      <alignment vertical="top" wrapText="1"/>
      <protection locked="0"/>
    </xf>
    <xf numFmtId="0" fontId="172" fillId="0" borderId="0" xfId="0" applyFont="1" applyAlignment="1" applyProtection="1">
      <alignment horizontal="center" vertical="center"/>
      <protection hidden="1"/>
    </xf>
    <xf numFmtId="9" fontId="172" fillId="13" borderId="0" xfId="0" applyNumberFormat="1" applyFont="1" applyFill="1" applyAlignment="1" applyProtection="1">
      <alignment horizontal="right" vertical="top"/>
      <protection hidden="1"/>
    </xf>
    <xf numFmtId="10" fontId="172" fillId="13" borderId="0" xfId="19" applyNumberFormat="1" applyFont="1" applyFill="1" applyBorder="1" applyAlignment="1" applyProtection="1">
      <alignment horizontal="center" vertical="top"/>
      <protection hidden="1"/>
    </xf>
    <xf numFmtId="10" fontId="172" fillId="13" borderId="0" xfId="19" applyNumberFormat="1" applyFont="1" applyFill="1" applyBorder="1" applyAlignment="1" applyProtection="1">
      <alignment horizontal="right" vertical="top"/>
      <protection hidden="1"/>
    </xf>
    <xf numFmtId="9" fontId="93" fillId="13" borderId="0" xfId="0" applyNumberFormat="1" applyFont="1" applyFill="1" applyAlignment="1" applyProtection="1">
      <alignment horizontal="right" vertical="center"/>
      <protection hidden="1"/>
    </xf>
    <xf numFmtId="5" fontId="93" fillId="13" borderId="0" xfId="19" applyNumberFormat="1" applyFont="1" applyFill="1" applyBorder="1" applyAlignment="1" applyProtection="1">
      <alignment horizontal="center" vertical="center"/>
      <protection hidden="1"/>
    </xf>
    <xf numFmtId="170" fontId="93" fillId="13" borderId="0" xfId="0" applyNumberFormat="1" applyFont="1" applyFill="1" applyAlignment="1" applyProtection="1">
      <alignment horizontal="center" vertical="center"/>
      <protection hidden="1"/>
    </xf>
    <xf numFmtId="5" fontId="93" fillId="13" borderId="0" xfId="19" applyNumberFormat="1" applyFont="1" applyFill="1" applyBorder="1" applyAlignment="1" applyProtection="1">
      <alignment horizontal="right" vertical="center"/>
      <protection hidden="1"/>
    </xf>
    <xf numFmtId="10" fontId="172" fillId="0" borderId="0" xfId="0" applyNumberFormat="1" applyFont="1" applyAlignment="1" applyProtection="1">
      <alignment horizontal="center" vertical="top"/>
      <protection hidden="1"/>
    </xf>
    <xf numFmtId="9" fontId="172" fillId="0" borderId="0" xfId="0" applyNumberFormat="1" applyFont="1" applyAlignment="1" applyProtection="1">
      <alignment horizontal="right" vertical="top"/>
      <protection hidden="1"/>
    </xf>
    <xf numFmtId="10" fontId="172" fillId="0" borderId="0" xfId="19" applyNumberFormat="1" applyFont="1" applyBorder="1" applyAlignment="1" applyProtection="1">
      <alignment horizontal="center" vertical="top"/>
      <protection hidden="1"/>
    </xf>
    <xf numFmtId="170" fontId="172" fillId="0" borderId="0" xfId="0" applyNumberFormat="1" applyFont="1" applyAlignment="1" applyProtection="1">
      <alignment horizontal="center" vertical="top"/>
      <protection hidden="1"/>
    </xf>
    <xf numFmtId="10" fontId="172" fillId="0" borderId="0" xfId="19" applyNumberFormat="1" applyFont="1" applyBorder="1" applyAlignment="1" applyProtection="1">
      <alignment horizontal="right" vertical="top"/>
      <protection hidden="1"/>
    </xf>
    <xf numFmtId="6" fontId="93" fillId="0" borderId="0" xfId="0" applyNumberFormat="1" applyFont="1" applyAlignment="1" applyProtection="1">
      <alignment horizontal="center" vertical="center"/>
      <protection hidden="1"/>
    </xf>
    <xf numFmtId="9" fontId="93" fillId="0" borderId="0" xfId="0" applyNumberFormat="1" applyFont="1" applyAlignment="1" applyProtection="1">
      <alignment horizontal="right" vertical="center"/>
      <protection hidden="1"/>
    </xf>
    <xf numFmtId="5" fontId="93" fillId="0" borderId="0" xfId="19" applyNumberFormat="1" applyFont="1" applyBorder="1" applyAlignment="1" applyProtection="1">
      <alignment horizontal="center" vertical="center"/>
      <protection hidden="1"/>
    </xf>
    <xf numFmtId="170" fontId="93" fillId="0" borderId="0" xfId="0" applyNumberFormat="1" applyFont="1" applyAlignment="1" applyProtection="1">
      <alignment horizontal="center" vertical="center"/>
      <protection hidden="1"/>
    </xf>
    <xf numFmtId="5" fontId="93" fillId="0" borderId="0" xfId="19" applyNumberFormat="1" applyFont="1" applyBorder="1" applyAlignment="1" applyProtection="1">
      <alignment horizontal="right" vertical="center"/>
      <protection hidden="1"/>
    </xf>
    <xf numFmtId="0" fontId="172" fillId="0" borderId="0" xfId="0" applyFont="1"/>
    <xf numFmtId="0" fontId="172" fillId="0" borderId="0" xfId="0" applyFont="1" applyAlignment="1" applyProtection="1">
      <alignment horizontal="center" vertical="center" wrapText="1"/>
      <protection hidden="1"/>
    </xf>
    <xf numFmtId="41" fontId="172" fillId="0" borderId="4" xfId="19" applyFont="1" applyBorder="1" applyAlignment="1" applyProtection="1">
      <protection locked="0"/>
    </xf>
    <xf numFmtId="41" fontId="172" fillId="0" borderId="0" xfId="19" applyFont="1" applyBorder="1" applyAlignment="1" applyProtection="1">
      <protection locked="0"/>
    </xf>
    <xf numFmtId="41" fontId="172" fillId="0" borderId="0" xfId="19" applyFont="1" applyFill="1" applyBorder="1" applyAlignment="1" applyProtection="1"/>
    <xf numFmtId="0" fontId="93" fillId="0" borderId="0" xfId="0" applyFont="1" applyAlignment="1">
      <alignment horizontal="center" vertical="center"/>
    </xf>
    <xf numFmtId="0" fontId="172" fillId="0" borderId="0" xfId="0" applyFont="1" applyProtection="1">
      <protection locked="0"/>
    </xf>
    <xf numFmtId="0" fontId="172" fillId="0" borderId="0" xfId="0" applyFont="1" applyAlignment="1" applyProtection="1">
      <alignment vertical="center"/>
      <protection locked="0"/>
    </xf>
    <xf numFmtId="0" fontId="172" fillId="0" borderId="0" xfId="0" applyFont="1" applyAlignment="1" applyProtection="1">
      <alignment horizontal="center" vertical="center"/>
      <protection locked="0"/>
    </xf>
    <xf numFmtId="0" fontId="172" fillId="13" borderId="0" xfId="0" applyFont="1" applyFill="1" applyProtection="1">
      <protection locked="0"/>
    </xf>
    <xf numFmtId="0" fontId="172" fillId="30" borderId="0" xfId="0" applyFont="1" applyFill="1"/>
    <xf numFmtId="0" fontId="172" fillId="30" borderId="0" xfId="0" applyFont="1" applyFill="1" applyAlignment="1">
      <alignment horizontal="center"/>
    </xf>
    <xf numFmtId="0" fontId="172" fillId="0" borderId="0" xfId="0" applyFont="1" applyAlignment="1">
      <alignment horizontal="center" vertical="center" wrapText="1"/>
    </xf>
    <xf numFmtId="0" fontId="172" fillId="0" borderId="0" xfId="0" applyFont="1" applyAlignment="1">
      <alignment horizontal="center" vertical="center"/>
    </xf>
    <xf numFmtId="0" fontId="10" fillId="0" borderId="0" xfId="0" applyFont="1" applyAlignment="1" applyProtection="1">
      <alignment horizontal="center" vertical="center"/>
      <protection hidden="1"/>
    </xf>
    <xf numFmtId="0" fontId="4" fillId="0" borderId="0" xfId="0" applyFont="1" applyProtection="1">
      <protection hidden="1"/>
    </xf>
    <xf numFmtId="0" fontId="19" fillId="0" borderId="0" xfId="0" applyFont="1" applyAlignment="1" applyProtection="1">
      <alignment vertical="center" wrapText="1"/>
      <protection hidden="1"/>
    </xf>
    <xf numFmtId="2" fontId="19" fillId="0" borderId="0" xfId="0" applyNumberFormat="1" applyFont="1" applyAlignment="1" applyProtection="1">
      <alignment vertical="center"/>
      <protection hidden="1"/>
    </xf>
    <xf numFmtId="0" fontId="47" fillId="0" borderId="4" xfId="0" applyFont="1" applyBorder="1" applyProtection="1">
      <protection hidden="1"/>
    </xf>
    <xf numFmtId="0" fontId="47" fillId="0" borderId="4" xfId="0" applyFont="1" applyBorder="1" applyAlignment="1" applyProtection="1">
      <alignment horizontal="right"/>
      <protection hidden="1"/>
    </xf>
    <xf numFmtId="0" fontId="47" fillId="9" borderId="4" xfId="0" applyFont="1" applyFill="1" applyBorder="1" applyAlignment="1" applyProtection="1">
      <alignment horizontal="center" vertical="center"/>
      <protection hidden="1"/>
    </xf>
    <xf numFmtId="0" fontId="4" fillId="0" borderId="0" xfId="0" applyFont="1" applyAlignment="1" applyProtection="1">
      <alignment horizontal="center" vertical="center" wrapText="1"/>
      <protection locked="0"/>
    </xf>
    <xf numFmtId="2" fontId="14" fillId="0" borderId="0" xfId="0" applyNumberFormat="1" applyFont="1"/>
    <xf numFmtId="170" fontId="14" fillId="0" borderId="0" xfId="0" applyNumberFormat="1" applyFont="1"/>
    <xf numFmtId="0" fontId="35" fillId="0" borderId="4" xfId="0" applyFont="1" applyBorder="1" applyAlignment="1" applyProtection="1">
      <alignment horizontal="right" vertical="center"/>
      <protection hidden="1"/>
    </xf>
    <xf numFmtId="0" fontId="14" fillId="47" borderId="4" xfId="0" applyFont="1" applyFill="1" applyBorder="1" applyProtection="1">
      <protection locked="0"/>
    </xf>
    <xf numFmtId="0" fontId="47" fillId="0" borderId="0" xfId="0" applyFont="1" applyProtection="1">
      <protection hidden="1"/>
    </xf>
    <xf numFmtId="14" fontId="47" fillId="0" borderId="0" xfId="0" applyNumberFormat="1" applyFont="1" applyAlignment="1" applyProtection="1">
      <alignment horizontal="justify"/>
      <protection hidden="1"/>
    </xf>
    <xf numFmtId="0" fontId="35" fillId="0" borderId="0" xfId="0" applyFont="1" applyAlignment="1" applyProtection="1">
      <alignment horizontal="right" vertical="center"/>
      <protection hidden="1"/>
    </xf>
    <xf numFmtId="10" fontId="51" fillId="0" borderId="0" xfId="2" applyNumberFormat="1" applyFont="1" applyFill="1" applyBorder="1" applyAlignment="1" applyProtection="1">
      <alignment horizontal="right" vertical="center"/>
      <protection hidden="1"/>
    </xf>
    <xf numFmtId="0" fontId="14" fillId="13" borderId="0" xfId="0" applyFont="1" applyFill="1" applyAlignment="1" applyProtection="1">
      <alignment wrapText="1"/>
      <protection locked="0"/>
    </xf>
    <xf numFmtId="0" fontId="4" fillId="13" borderId="0" xfId="0" applyFont="1" applyFill="1" applyAlignment="1" applyProtection="1">
      <alignment wrapText="1"/>
      <protection locked="0"/>
    </xf>
    <xf numFmtId="0" fontId="10" fillId="13" borderId="0" xfId="16" applyFont="1" applyFill="1" applyBorder="1" applyAlignment="1" applyProtection="1">
      <alignment horizontal="center" vertical="center" wrapText="1"/>
      <protection locked="0"/>
    </xf>
    <xf numFmtId="0" fontId="4" fillId="13" borderId="0" xfId="0" applyFont="1" applyFill="1" applyAlignment="1" applyProtection="1">
      <alignment horizontal="center" vertical="center" wrapText="1"/>
      <protection locked="0"/>
    </xf>
    <xf numFmtId="0" fontId="14" fillId="13" borderId="0" xfId="0" applyFont="1" applyFill="1" applyAlignment="1" applyProtection="1">
      <alignment horizontal="center" vertical="center" wrapText="1"/>
      <protection locked="0"/>
    </xf>
    <xf numFmtId="0" fontId="4" fillId="0" borderId="0" xfId="0" applyFont="1" applyAlignment="1" applyProtection="1">
      <alignment vertical="center" wrapText="1"/>
      <protection locked="0"/>
    </xf>
    <xf numFmtId="2" fontId="4" fillId="0" borderId="0" xfId="0" applyNumberFormat="1" applyFont="1" applyAlignment="1" applyProtection="1">
      <alignment horizontal="center" vertical="center" wrapText="1"/>
      <protection locked="0"/>
    </xf>
    <xf numFmtId="174"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2" fontId="14" fillId="0" borderId="0" xfId="0" applyNumberFormat="1" applyFont="1" applyAlignment="1" applyProtection="1">
      <alignment vertical="center" wrapText="1"/>
      <protection locked="0"/>
    </xf>
    <xf numFmtId="180" fontId="14" fillId="0" borderId="0" xfId="18" applyNumberFormat="1" applyFont="1" applyAlignment="1" applyProtection="1">
      <alignment horizontal="center" vertical="center" wrapText="1"/>
      <protection locked="0"/>
    </xf>
    <xf numFmtId="0" fontId="25" fillId="0" borderId="4"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179" fontId="14" fillId="0" borderId="4" xfId="0" applyNumberFormat="1" applyFont="1" applyBorder="1" applyAlignment="1" applyProtection="1">
      <alignment vertical="center"/>
      <protection locked="0"/>
    </xf>
    <xf numFmtId="179" fontId="14" fillId="0" borderId="0" xfId="0" applyNumberFormat="1" applyFont="1" applyAlignment="1" applyProtection="1">
      <alignment vertical="center"/>
      <protection locked="0"/>
    </xf>
    <xf numFmtId="0" fontId="47" fillId="49" borderId="89" xfId="0" applyFont="1" applyFill="1" applyBorder="1"/>
    <xf numFmtId="0" fontId="14" fillId="20" borderId="0" xfId="0" applyFont="1" applyFill="1" applyAlignment="1" applyProtection="1">
      <alignment horizontal="center" vertical="center" wrapText="1"/>
      <protection locked="0"/>
    </xf>
    <xf numFmtId="0" fontId="4" fillId="20" borderId="0" xfId="0" applyFont="1" applyFill="1" applyAlignment="1" applyProtection="1">
      <alignment horizontal="center" vertical="center" wrapText="1"/>
      <protection locked="0"/>
    </xf>
    <xf numFmtId="2" fontId="4" fillId="20" borderId="0" xfId="0" applyNumberFormat="1" applyFont="1" applyFill="1" applyAlignment="1" applyProtection="1">
      <alignment horizontal="center" vertical="center" wrapText="1"/>
      <protection locked="0"/>
    </xf>
    <xf numFmtId="2" fontId="14" fillId="20" borderId="0" xfId="0" applyNumberFormat="1" applyFont="1" applyFill="1" applyAlignment="1" applyProtection="1">
      <alignment vertical="center" wrapText="1"/>
      <protection locked="0"/>
    </xf>
    <xf numFmtId="0" fontId="14" fillId="20" borderId="0" xfId="0" applyFont="1" applyFill="1" applyAlignment="1" applyProtection="1">
      <alignment wrapText="1"/>
      <protection locked="0"/>
    </xf>
    <xf numFmtId="0" fontId="47" fillId="20" borderId="89" xfId="0" applyFont="1" applyFill="1" applyBorder="1"/>
    <xf numFmtId="14" fontId="47" fillId="0" borderId="149" xfId="0" applyNumberFormat="1" applyFont="1" applyBorder="1" applyAlignment="1" applyProtection="1">
      <alignment horizontal="justify"/>
      <protection hidden="1"/>
    </xf>
    <xf numFmtId="0" fontId="22" fillId="30" borderId="54" xfId="0" applyFont="1" applyFill="1" applyBorder="1" applyAlignment="1" applyProtection="1">
      <alignment horizontal="center" vertical="center" wrapText="1"/>
      <protection hidden="1"/>
    </xf>
    <xf numFmtId="0" fontId="160" fillId="61" borderId="54" xfId="0" applyFont="1" applyFill="1" applyBorder="1" applyAlignment="1" applyProtection="1">
      <alignment horizontal="center" vertical="center" wrapText="1"/>
      <protection hidden="1"/>
    </xf>
    <xf numFmtId="0" fontId="35" fillId="0" borderId="4" xfId="0" applyFont="1" applyBorder="1" applyAlignment="1" applyProtection="1">
      <alignment horizontal="center" vertical="center"/>
      <protection hidden="1"/>
    </xf>
    <xf numFmtId="0" fontId="14" fillId="0" borderId="33" xfId="0" applyFont="1" applyBorder="1" applyAlignment="1">
      <alignment horizontal="left" vertical="center"/>
    </xf>
    <xf numFmtId="0" fontId="19" fillId="0" borderId="0" xfId="0" applyFont="1" applyAlignment="1" applyProtection="1">
      <alignment horizontal="center" vertical="center" wrapText="1"/>
      <protection locked="0"/>
    </xf>
    <xf numFmtId="14" fontId="14" fillId="0" borderId="13" xfId="0" applyNumberFormat="1" applyFont="1" applyBorder="1" applyAlignment="1" applyProtection="1">
      <alignment horizontal="left" vertical="center"/>
      <protection locked="0"/>
    </xf>
    <xf numFmtId="0" fontId="9" fillId="0" borderId="4" xfId="0" applyFont="1" applyBorder="1" applyAlignment="1" applyProtection="1">
      <alignment vertical="center" wrapText="1"/>
      <protection locked="0" hidden="1"/>
    </xf>
    <xf numFmtId="0" fontId="47" fillId="0" borderId="4" xfId="0" applyFont="1" applyBorder="1" applyAlignment="1" applyProtection="1">
      <alignment vertical="center" wrapText="1"/>
      <protection locked="0" hidden="1"/>
    </xf>
    <xf numFmtId="0" fontId="9" fillId="0" borderId="4" xfId="0" applyFont="1" applyBorder="1" applyAlignment="1">
      <alignment vertical="center" wrapText="1"/>
    </xf>
    <xf numFmtId="0" fontId="35" fillId="25" borderId="4" xfId="0" applyFont="1" applyFill="1" applyBorder="1" applyAlignment="1" applyProtection="1">
      <alignment horizontal="center" vertical="center"/>
      <protection hidden="1"/>
    </xf>
    <xf numFmtId="0" fontId="74" fillId="25" borderId="14" xfId="0" applyFont="1" applyFill="1" applyBorder="1" applyAlignment="1" applyProtection="1">
      <alignment horizontal="center" vertical="center" wrapText="1"/>
      <protection hidden="1"/>
    </xf>
    <xf numFmtId="0" fontId="35" fillId="25" borderId="14" xfId="0" applyFont="1" applyFill="1" applyBorder="1" applyAlignment="1" applyProtection="1">
      <alignment horizontal="center" vertical="center" wrapText="1"/>
      <protection hidden="1"/>
    </xf>
    <xf numFmtId="0" fontId="74" fillId="48" borderId="14" xfId="0" applyFont="1" applyFill="1" applyBorder="1" applyAlignment="1" applyProtection="1">
      <alignment horizontal="center" vertical="center" wrapText="1"/>
      <protection hidden="1"/>
    </xf>
    <xf numFmtId="3" fontId="47" fillId="0" borderId="4" xfId="0" applyNumberFormat="1" applyFont="1" applyBorder="1" applyAlignment="1" applyProtection="1">
      <alignment vertical="center"/>
      <protection hidden="1"/>
    </xf>
    <xf numFmtId="0" fontId="25" fillId="5" borderId="51" xfId="5" applyFont="1" applyFill="1" applyBorder="1" applyAlignment="1" applyProtection="1">
      <alignment horizontal="center" vertical="center" wrapText="1"/>
      <protection hidden="1"/>
    </xf>
    <xf numFmtId="0" fontId="9" fillId="12" borderId="4" xfId="8" applyFont="1" applyFill="1" applyBorder="1" applyAlignment="1" applyProtection="1">
      <alignment vertical="center" wrapText="1"/>
    </xf>
    <xf numFmtId="14" fontId="20" fillId="0" borderId="0" xfId="5" applyNumberFormat="1" applyFont="1" applyAlignment="1" applyProtection="1">
      <alignment horizontal="center" vertical="center"/>
      <protection locked="0"/>
    </xf>
    <xf numFmtId="0" fontId="29" fillId="0" borderId="122" xfId="5" applyFont="1" applyBorder="1" applyAlignment="1">
      <alignment vertical="center"/>
    </xf>
    <xf numFmtId="0" fontId="29" fillId="0" borderId="2" xfId="5" applyFont="1" applyBorder="1" applyAlignment="1">
      <alignment vertical="center"/>
    </xf>
    <xf numFmtId="0" fontId="29" fillId="0" borderId="0" xfId="5" applyFont="1" applyAlignment="1">
      <alignment vertical="center"/>
    </xf>
    <xf numFmtId="0" fontId="65" fillId="29" borderId="121" xfId="34" applyFont="1" applyFill="1" applyBorder="1" applyAlignment="1" applyProtection="1">
      <alignment horizontal="center" vertical="center" wrapText="1"/>
      <protection hidden="1"/>
    </xf>
    <xf numFmtId="0" fontId="65" fillId="29" borderId="125" xfId="34" applyFont="1" applyFill="1" applyBorder="1" applyAlignment="1" applyProtection="1">
      <alignment horizontal="center" vertical="center" wrapText="1"/>
      <protection hidden="1"/>
    </xf>
    <xf numFmtId="170" fontId="65" fillId="62" borderId="127" xfId="5" applyNumberFormat="1" applyFont="1" applyFill="1" applyBorder="1" applyAlignment="1" applyProtection="1">
      <alignment horizontal="center" vertical="center" wrapText="1"/>
      <protection hidden="1"/>
    </xf>
    <xf numFmtId="170" fontId="65" fillId="36" borderId="155" xfId="7" applyNumberFormat="1" applyFont="1" applyFill="1" applyBorder="1" applyAlignment="1" applyProtection="1">
      <alignment horizontal="center" vertical="center" wrapText="1"/>
      <protection hidden="1"/>
    </xf>
    <xf numFmtId="0" fontId="0" fillId="61" borderId="14" xfId="0" applyFill="1" applyBorder="1" applyAlignment="1">
      <alignment horizontal="center" vertical="center"/>
    </xf>
    <xf numFmtId="0" fontId="0" fillId="61" borderId="31" xfId="0" applyFill="1" applyBorder="1" applyAlignment="1">
      <alignment horizontal="center" vertical="center"/>
    </xf>
    <xf numFmtId="170" fontId="62" fillId="61" borderId="4" xfId="2" applyNumberFormat="1" applyFont="1" applyFill="1" applyBorder="1" applyAlignment="1">
      <alignment horizontal="center" vertical="center"/>
    </xf>
    <xf numFmtId="0" fontId="18" fillId="61" borderId="9" xfId="0" applyFont="1" applyFill="1" applyBorder="1" applyAlignment="1">
      <alignment horizontal="left" vertical="center"/>
    </xf>
    <xf numFmtId="0" fontId="18" fillId="61" borderId="4" xfId="0" applyFont="1" applyFill="1" applyBorder="1" applyAlignment="1">
      <alignment horizontal="left" vertical="center"/>
    </xf>
    <xf numFmtId="2" fontId="180" fillId="21" borderId="4" xfId="0" applyNumberFormat="1" applyFont="1" applyFill="1" applyBorder="1" applyAlignment="1">
      <alignment horizontal="center" vertical="center"/>
    </xf>
    <xf numFmtId="0" fontId="0" fillId="21" borderId="4" xfId="0" applyFill="1" applyBorder="1" applyAlignment="1">
      <alignment horizontal="left" vertical="center"/>
    </xf>
    <xf numFmtId="2" fontId="62" fillId="20" borderId="4" xfId="0" applyNumberFormat="1" applyFont="1" applyFill="1" applyBorder="1" applyAlignment="1">
      <alignment horizontal="center" vertical="center"/>
    </xf>
    <xf numFmtId="0" fontId="0" fillId="20" borderId="4" xfId="0" applyFill="1" applyBorder="1" applyAlignment="1">
      <alignment horizontal="left" vertical="center"/>
    </xf>
    <xf numFmtId="2" fontId="62" fillId="62" borderId="152" xfId="0" applyNumberFormat="1" applyFont="1" applyFill="1" applyBorder="1" applyAlignment="1">
      <alignment horizontal="center" vertical="center"/>
    </xf>
    <xf numFmtId="0" fontId="0" fillId="62" borderId="4" xfId="0" applyFill="1" applyBorder="1" applyAlignment="1">
      <alignment horizontal="left" vertical="center"/>
    </xf>
    <xf numFmtId="0" fontId="59" fillId="0" borderId="0" xfId="0" applyFont="1" applyAlignment="1">
      <alignment vertical="center"/>
    </xf>
    <xf numFmtId="0" fontId="0" fillId="61" borderId="35" xfId="0" applyFill="1" applyBorder="1" applyAlignment="1">
      <alignment horizontal="center" vertical="center"/>
    </xf>
    <xf numFmtId="2" fontId="62" fillId="61" borderId="21" xfId="0" applyNumberFormat="1" applyFont="1" applyFill="1" applyBorder="1" applyAlignment="1">
      <alignment horizontal="center" vertical="center"/>
    </xf>
    <xf numFmtId="2" fontId="62" fillId="61" borderId="4" xfId="0" applyNumberFormat="1" applyFont="1" applyFill="1" applyBorder="1" applyAlignment="1">
      <alignment horizontal="center" vertical="center"/>
    </xf>
    <xf numFmtId="2" fontId="180" fillId="21" borderId="21" xfId="0" applyNumberFormat="1" applyFont="1" applyFill="1" applyBorder="1" applyAlignment="1">
      <alignment horizontal="center" vertical="center" wrapText="1"/>
    </xf>
    <xf numFmtId="2" fontId="180" fillId="21" borderId="4" xfId="0" applyNumberFormat="1" applyFont="1" applyFill="1" applyBorder="1" applyAlignment="1">
      <alignment horizontal="center" vertical="center" wrapText="1"/>
    </xf>
    <xf numFmtId="2" fontId="62" fillId="20" borderId="21" xfId="0" applyNumberFormat="1" applyFont="1" applyFill="1" applyBorder="1" applyAlignment="1">
      <alignment horizontal="center" vertical="center"/>
    </xf>
    <xf numFmtId="2" fontId="62" fillId="62" borderId="151" xfId="0" applyNumberFormat="1" applyFont="1" applyFill="1" applyBorder="1" applyAlignment="1">
      <alignment horizontal="center" vertical="center"/>
    </xf>
    <xf numFmtId="0" fontId="108" fillId="56" borderId="99" xfId="5" applyFont="1" applyFill="1" applyBorder="1" applyAlignment="1" applyProtection="1">
      <alignment vertical="center" wrapText="1"/>
      <protection hidden="1"/>
    </xf>
    <xf numFmtId="0" fontId="108" fillId="56" borderId="103" xfId="5" applyFont="1" applyFill="1" applyBorder="1" applyAlignment="1" applyProtection="1">
      <alignment vertical="center" wrapText="1"/>
      <protection hidden="1"/>
    </xf>
    <xf numFmtId="0" fontId="14" fillId="0" borderId="0" xfId="0" applyFont="1" applyAlignment="1" applyProtection="1">
      <alignment horizontal="left" vertical="center"/>
      <protection hidden="1"/>
    </xf>
    <xf numFmtId="14" fontId="27" fillId="0" borderId="33" xfId="0" applyNumberFormat="1" applyFont="1" applyBorder="1" applyAlignment="1" applyProtection="1">
      <alignment horizontal="left"/>
      <protection locked="0"/>
    </xf>
    <xf numFmtId="170" fontId="23" fillId="0" borderId="0" xfId="7" applyNumberFormat="1" applyFont="1" applyAlignment="1" applyProtection="1">
      <alignment vertical="center"/>
    </xf>
    <xf numFmtId="0" fontId="12" fillId="7" borderId="10" xfId="5" applyFont="1" applyFill="1" applyBorder="1" applyAlignment="1">
      <alignment horizontal="center" vertical="center" wrapText="1"/>
    </xf>
    <xf numFmtId="0" fontId="12" fillId="7" borderId="11" xfId="5" applyFont="1" applyFill="1" applyBorder="1" applyAlignment="1">
      <alignment horizontal="center" vertical="center" wrapText="1"/>
    </xf>
    <xf numFmtId="0" fontId="45" fillId="17" borderId="12" xfId="0" applyFont="1" applyFill="1" applyBorder="1" applyAlignment="1">
      <alignment horizontal="center" vertical="center" wrapText="1"/>
    </xf>
    <xf numFmtId="10" fontId="13" fillId="0" borderId="4" xfId="2" applyNumberFormat="1" applyFont="1" applyBorder="1" applyAlignment="1" applyProtection="1">
      <alignment horizontal="center" vertical="center"/>
      <protection hidden="1"/>
    </xf>
    <xf numFmtId="167" fontId="27" fillId="0" borderId="0" xfId="4" applyNumberFormat="1" applyFont="1" applyAlignment="1" applyProtection="1">
      <alignment horizontal="center" vertical="center" wrapText="1"/>
      <protection locked="0"/>
    </xf>
    <xf numFmtId="167" fontId="27" fillId="0" borderId="0" xfId="4" applyNumberFormat="1" applyFont="1" applyAlignment="1" applyProtection="1">
      <alignment vertical="center" wrapText="1"/>
      <protection locked="0"/>
    </xf>
    <xf numFmtId="9" fontId="27" fillId="0" borderId="0" xfId="2" applyFont="1" applyAlignment="1" applyProtection="1">
      <alignment vertical="center"/>
      <protection locked="0"/>
    </xf>
    <xf numFmtId="165" fontId="13" fillId="0" borderId="0" xfId="1" applyFont="1" applyAlignment="1" applyProtection="1">
      <alignment vertical="center"/>
      <protection locked="0"/>
    </xf>
    <xf numFmtId="0" fontId="13" fillId="0" borderId="0" xfId="5" applyFont="1" applyAlignment="1">
      <alignment vertical="center"/>
    </xf>
    <xf numFmtId="167" fontId="27" fillId="16" borderId="4" xfId="4" applyNumberFormat="1" applyFont="1" applyFill="1" applyBorder="1" applyAlignment="1" applyProtection="1">
      <alignment vertical="center"/>
    </xf>
    <xf numFmtId="167" fontId="27" fillId="13" borderId="0" xfId="4" applyNumberFormat="1" applyFont="1" applyFill="1" applyAlignment="1" applyProtection="1">
      <alignment horizontal="center" vertical="center"/>
    </xf>
    <xf numFmtId="167" fontId="28" fillId="32" borderId="4" xfId="4" applyNumberFormat="1" applyFont="1" applyFill="1" applyBorder="1" applyAlignment="1" applyProtection="1">
      <alignment horizontal="center" vertical="center"/>
    </xf>
    <xf numFmtId="167" fontId="27" fillId="16" borderId="4" xfId="4" applyNumberFormat="1" applyFont="1" applyFill="1" applyBorder="1" applyAlignment="1" applyProtection="1">
      <alignment horizontal="center" vertical="center"/>
    </xf>
    <xf numFmtId="9" fontId="27" fillId="16" borderId="4" xfId="2" applyFont="1" applyFill="1" applyBorder="1" applyAlignment="1" applyProtection="1">
      <alignment horizontal="center" vertical="center"/>
    </xf>
    <xf numFmtId="167" fontId="27" fillId="0" borderId="4" xfId="4" applyNumberFormat="1" applyFont="1" applyBorder="1" applyAlignment="1" applyProtection="1">
      <alignment horizontal="center" vertical="center"/>
    </xf>
    <xf numFmtId="0" fontId="47" fillId="30" borderId="4" xfId="0" applyFont="1" applyFill="1" applyBorder="1" applyAlignment="1">
      <alignment horizontal="center" vertical="center"/>
    </xf>
    <xf numFmtId="0" fontId="47" fillId="20" borderId="4" xfId="0" applyFont="1" applyFill="1" applyBorder="1" applyAlignment="1">
      <alignment horizontal="center" vertical="center"/>
    </xf>
    <xf numFmtId="0" fontId="52" fillId="21" borderId="4" xfId="0" applyFont="1" applyFill="1" applyBorder="1" applyAlignment="1">
      <alignment horizontal="center" vertical="center"/>
    </xf>
    <xf numFmtId="167" fontId="27" fillId="31" borderId="4" xfId="4" applyNumberFormat="1" applyFont="1" applyFill="1" applyBorder="1" applyAlignment="1" applyProtection="1">
      <alignment horizontal="center" vertical="center"/>
    </xf>
    <xf numFmtId="9" fontId="27" fillId="0" borderId="4" xfId="2" applyFont="1" applyBorder="1" applyAlignment="1" applyProtection="1">
      <alignment horizontal="center" vertical="center"/>
    </xf>
    <xf numFmtId="9" fontId="27" fillId="30" borderId="4" xfId="2" applyFont="1" applyFill="1" applyBorder="1" applyAlignment="1" applyProtection="1">
      <alignment horizontal="center" vertical="center"/>
    </xf>
    <xf numFmtId="9" fontId="14" fillId="30" borderId="4" xfId="0" applyNumberFormat="1" applyFont="1" applyFill="1" applyBorder="1" applyAlignment="1">
      <alignment horizontal="center" vertical="center"/>
    </xf>
    <xf numFmtId="9" fontId="14" fillId="20" borderId="4" xfId="0" applyNumberFormat="1" applyFont="1" applyFill="1" applyBorder="1" applyAlignment="1">
      <alignment horizontal="center" vertical="center"/>
    </xf>
    <xf numFmtId="9" fontId="27" fillId="20" borderId="4" xfId="2" applyFont="1" applyFill="1" applyBorder="1" applyAlignment="1" applyProtection="1">
      <alignment horizontal="center" vertical="center"/>
    </xf>
    <xf numFmtId="9" fontId="41" fillId="21" borderId="4" xfId="0" applyNumberFormat="1" applyFont="1" applyFill="1" applyBorder="1" applyAlignment="1">
      <alignment horizontal="center" vertical="center"/>
    </xf>
    <xf numFmtId="9" fontId="41" fillId="21" borderId="4" xfId="2" applyFont="1" applyFill="1" applyBorder="1" applyAlignment="1" applyProtection="1">
      <alignment horizontal="center" vertical="center"/>
    </xf>
    <xf numFmtId="167" fontId="27" fillId="5" borderId="4" xfId="4" applyNumberFormat="1" applyFont="1" applyFill="1" applyBorder="1" applyAlignment="1" applyProtection="1">
      <alignment horizontal="center" vertical="center"/>
    </xf>
    <xf numFmtId="10" fontId="27" fillId="30" borderId="4" xfId="2" applyNumberFormat="1" applyFont="1" applyFill="1" applyBorder="1" applyAlignment="1" applyProtection="1">
      <alignment horizontal="center" vertical="center"/>
    </xf>
    <xf numFmtId="10" fontId="14" fillId="20" borderId="4" xfId="0" applyNumberFormat="1" applyFont="1" applyFill="1" applyBorder="1" applyAlignment="1">
      <alignment horizontal="center" vertical="center"/>
    </xf>
    <xf numFmtId="10" fontId="41" fillId="21" borderId="4" xfId="0" applyNumberFormat="1" applyFont="1" applyFill="1" applyBorder="1" applyAlignment="1">
      <alignment horizontal="center" vertical="center"/>
    </xf>
    <xf numFmtId="0" fontId="9" fillId="0" borderId="0" xfId="5" applyFont="1" applyAlignment="1">
      <alignment vertical="center"/>
    </xf>
    <xf numFmtId="0" fontId="30" fillId="0" borderId="5" xfId="9" applyFont="1" applyBorder="1" applyAlignment="1">
      <alignment horizontal="center" vertical="center" wrapText="1"/>
    </xf>
    <xf numFmtId="0" fontId="30" fillId="0" borderId="3" xfId="9" applyFont="1" applyBorder="1" applyAlignment="1">
      <alignment horizontal="center" vertical="center" wrapText="1"/>
    </xf>
    <xf numFmtId="0" fontId="30" fillId="0" borderId="2" xfId="9" applyFont="1" applyBorder="1" applyAlignment="1">
      <alignment horizontal="center" vertical="center" wrapText="1"/>
    </xf>
    <xf numFmtId="0" fontId="33" fillId="0" borderId="3" xfId="9" applyFont="1" applyBorder="1" applyAlignment="1">
      <alignment horizontal="justify" vertical="center" wrapText="1"/>
    </xf>
    <xf numFmtId="9" fontId="54" fillId="0" borderId="3" xfId="9" applyNumberFormat="1" applyFont="1" applyBorder="1" applyAlignment="1">
      <alignment horizontal="center" vertical="center" wrapText="1"/>
    </xf>
    <xf numFmtId="171" fontId="10" fillId="0" borderId="0" xfId="7" applyNumberFormat="1" applyFont="1" applyAlignment="1" applyProtection="1">
      <alignment vertical="center"/>
    </xf>
    <xf numFmtId="170" fontId="10" fillId="0" borderId="0" xfId="7" applyNumberFormat="1" applyFont="1" applyAlignment="1" applyProtection="1">
      <alignment vertical="center"/>
    </xf>
    <xf numFmtId="0" fontId="33" fillId="0" borderId="26" xfId="9" applyFont="1" applyBorder="1" applyAlignment="1">
      <alignment horizontal="justify" vertical="center" wrapText="1"/>
    </xf>
    <xf numFmtId="9" fontId="54" fillId="0" borderId="26" xfId="9" applyNumberFormat="1" applyFont="1" applyBorder="1" applyAlignment="1">
      <alignment horizontal="center" vertical="center" wrapText="1"/>
    </xf>
    <xf numFmtId="167" fontId="27" fillId="0" borderId="0" xfId="4" applyNumberFormat="1" applyFont="1" applyBorder="1" applyAlignment="1" applyProtection="1">
      <alignment horizontal="center" vertical="center"/>
      <protection locked="0"/>
    </xf>
    <xf numFmtId="0" fontId="9" fillId="8" borderId="158" xfId="8" applyFont="1" applyFill="1" applyBorder="1" applyAlignment="1" applyProtection="1">
      <alignment horizontal="left" vertical="center" wrapText="1"/>
    </xf>
    <xf numFmtId="0" fontId="47" fillId="8" borderId="156" xfId="0" applyFont="1" applyFill="1" applyBorder="1" applyAlignment="1">
      <alignment horizontal="left" vertical="center" wrapText="1"/>
    </xf>
    <xf numFmtId="0" fontId="9" fillId="8" borderId="158" xfId="8" applyFont="1" applyFill="1" applyBorder="1" applyAlignment="1" applyProtection="1">
      <alignment vertical="center" wrapText="1"/>
    </xf>
    <xf numFmtId="0" fontId="9" fillId="6" borderId="156" xfId="8" applyFont="1" applyFill="1" applyBorder="1" applyAlignment="1" applyProtection="1">
      <alignment horizontal="justify" vertical="center" wrapText="1"/>
      <protection locked="0"/>
    </xf>
    <xf numFmtId="0" fontId="53" fillId="13" borderId="160" xfId="10" applyFont="1" applyFill="1" applyBorder="1" applyAlignment="1">
      <alignment vertical="center" wrapText="1"/>
    </xf>
    <xf numFmtId="9" fontId="14" fillId="13" borderId="0" xfId="2" applyFont="1" applyFill="1"/>
    <xf numFmtId="9" fontId="19" fillId="13" borderId="0" xfId="2" applyFont="1" applyFill="1" applyBorder="1" applyAlignment="1">
      <alignment wrapText="1"/>
    </xf>
    <xf numFmtId="9" fontId="14" fillId="0" borderId="0" xfId="2" applyFont="1" applyProtection="1">
      <protection hidden="1"/>
    </xf>
    <xf numFmtId="167" fontId="13" fillId="7" borderId="17" xfId="4" applyNumberFormat="1" applyFont="1" applyFill="1" applyBorder="1" applyAlignment="1" applyProtection="1">
      <alignment horizontal="center" vertical="center" wrapText="1"/>
      <protection locked="0"/>
    </xf>
    <xf numFmtId="10" fontId="13" fillId="6" borderId="17" xfId="7" applyNumberFormat="1" applyFont="1" applyFill="1" applyBorder="1" applyAlignment="1" applyProtection="1">
      <alignment horizontal="center" vertical="center" wrapText="1"/>
      <protection hidden="1"/>
    </xf>
    <xf numFmtId="0" fontId="28" fillId="7" borderId="135" xfId="4" applyNumberFormat="1" applyFont="1" applyFill="1" applyBorder="1" applyAlignment="1" applyProtection="1">
      <alignment horizontal="center" vertical="center" wrapText="1"/>
    </xf>
    <xf numFmtId="44" fontId="14" fillId="13" borderId="0" xfId="0" applyNumberFormat="1" applyFont="1" applyFill="1"/>
    <xf numFmtId="0" fontId="74" fillId="4" borderId="19" xfId="3" applyFont="1" applyFill="1" applyBorder="1" applyAlignment="1" applyProtection="1">
      <alignment horizontal="left" vertical="center" wrapText="1"/>
      <protection hidden="1"/>
    </xf>
    <xf numFmtId="49" fontId="28" fillId="6" borderId="19" xfId="5" applyNumberFormat="1" applyFont="1" applyFill="1" applyBorder="1" applyAlignment="1">
      <alignment vertical="center" wrapText="1"/>
    </xf>
    <xf numFmtId="49" fontId="28" fillId="6" borderId="49" xfId="5" applyNumberFormat="1" applyFont="1" applyFill="1" applyBorder="1" applyAlignment="1">
      <alignment horizontal="left" vertical="center" wrapText="1"/>
    </xf>
    <xf numFmtId="49" fontId="28" fillId="6" borderId="16" xfId="5" applyNumberFormat="1" applyFont="1" applyFill="1" applyBorder="1" applyAlignment="1">
      <alignment horizontal="left" vertical="center" wrapText="1"/>
    </xf>
    <xf numFmtId="49" fontId="28" fillId="6" borderId="21" xfId="5" applyNumberFormat="1" applyFont="1" applyFill="1" applyBorder="1" applyAlignment="1">
      <alignment horizontal="left" vertical="center" wrapText="1"/>
    </xf>
    <xf numFmtId="49" fontId="28" fillId="6" borderId="18" xfId="5" applyNumberFormat="1" applyFont="1" applyFill="1" applyBorder="1" applyAlignment="1">
      <alignment horizontal="left" vertical="center" wrapText="1"/>
    </xf>
    <xf numFmtId="164" fontId="25" fillId="0" borderId="63" xfId="14" applyFont="1" applyFill="1" applyBorder="1" applyAlignment="1" applyProtection="1">
      <alignment horizontal="center" vertical="center"/>
    </xf>
    <xf numFmtId="167" fontId="11" fillId="25" borderId="121" xfId="4" applyNumberFormat="1" applyFont="1" applyFill="1" applyBorder="1" applyAlignment="1" applyProtection="1">
      <alignment horizontal="center" vertical="center"/>
      <protection hidden="1"/>
    </xf>
    <xf numFmtId="167" fontId="11" fillId="25" borderId="125" xfId="4" applyNumberFormat="1" applyFont="1" applyFill="1" applyBorder="1" applyAlignment="1" applyProtection="1">
      <alignment horizontal="center" vertical="center"/>
      <protection hidden="1"/>
    </xf>
    <xf numFmtId="167" fontId="11" fillId="25" borderId="155" xfId="4" applyNumberFormat="1" applyFont="1" applyFill="1" applyBorder="1" applyAlignment="1" applyProtection="1">
      <alignment horizontal="center" vertical="center"/>
      <protection hidden="1"/>
    </xf>
    <xf numFmtId="167" fontId="181" fillId="12" borderId="19" xfId="4" applyNumberFormat="1" applyFont="1" applyFill="1" applyBorder="1" applyAlignment="1" applyProtection="1">
      <alignment horizontal="center" vertical="center"/>
      <protection hidden="1"/>
    </xf>
    <xf numFmtId="10" fontId="11" fillId="25" borderId="161" xfId="2" applyNumberFormat="1" applyFont="1" applyFill="1" applyBorder="1" applyAlignment="1" applyProtection="1">
      <alignment horizontal="center" vertical="center"/>
      <protection hidden="1"/>
    </xf>
    <xf numFmtId="10" fontId="11" fillId="25" borderId="86" xfId="2" applyNumberFormat="1" applyFont="1" applyFill="1" applyBorder="1" applyAlignment="1" applyProtection="1">
      <alignment horizontal="center" vertical="center"/>
      <protection hidden="1"/>
    </xf>
    <xf numFmtId="10" fontId="11" fillId="25" borderId="157" xfId="2" applyNumberFormat="1" applyFont="1" applyFill="1" applyBorder="1" applyAlignment="1" applyProtection="1">
      <alignment horizontal="center" vertical="center"/>
      <protection hidden="1"/>
    </xf>
    <xf numFmtId="170" fontId="17" fillId="5" borderId="5" xfId="2" applyNumberFormat="1" applyFont="1" applyFill="1" applyBorder="1" applyAlignment="1" applyProtection="1">
      <alignment horizontal="center" vertical="center"/>
      <protection hidden="1"/>
    </xf>
    <xf numFmtId="167" fontId="11" fillId="26" borderId="121" xfId="4" applyNumberFormat="1" applyFont="1" applyFill="1" applyBorder="1" applyAlignment="1" applyProtection="1">
      <alignment horizontal="center" vertical="center"/>
      <protection hidden="1"/>
    </xf>
    <xf numFmtId="0" fontId="11" fillId="25" borderId="155" xfId="5" applyFont="1" applyFill="1" applyBorder="1" applyAlignment="1" applyProtection="1">
      <alignment horizontal="center" vertical="center"/>
      <protection hidden="1"/>
    </xf>
    <xf numFmtId="167" fontId="17" fillId="10" borderId="19" xfId="4" applyNumberFormat="1" applyFont="1" applyFill="1" applyBorder="1" applyAlignment="1" applyProtection="1">
      <alignment horizontal="center" vertical="center" wrapText="1"/>
      <protection hidden="1"/>
    </xf>
    <xf numFmtId="0" fontId="74" fillId="4" borderId="121" xfId="3" applyFont="1" applyFill="1" applyBorder="1" applyAlignment="1" applyProtection="1">
      <alignment horizontal="left" vertical="center" wrapText="1"/>
      <protection hidden="1"/>
    </xf>
    <xf numFmtId="0" fontId="74" fillId="4" borderId="125" xfId="3" applyFont="1" applyFill="1" applyBorder="1" applyAlignment="1" applyProtection="1">
      <alignment horizontal="left" vertical="center" wrapText="1"/>
      <protection hidden="1"/>
    </xf>
    <xf numFmtId="0" fontId="74" fillId="4" borderId="127" xfId="3" applyFont="1" applyFill="1" applyBorder="1" applyAlignment="1" applyProtection="1">
      <alignment horizontal="left" vertical="center" wrapText="1"/>
      <protection hidden="1"/>
    </xf>
    <xf numFmtId="0" fontId="47" fillId="0" borderId="4" xfId="0" applyFont="1" applyBorder="1" applyAlignment="1">
      <alignment vertical="center" wrapText="1"/>
    </xf>
    <xf numFmtId="10" fontId="35" fillId="36" borderId="4" xfId="0" applyNumberFormat="1" applyFont="1" applyFill="1" applyBorder="1" applyAlignment="1" applyProtection="1">
      <alignment horizontal="center" vertical="center"/>
      <protection locked="0" hidden="1"/>
    </xf>
    <xf numFmtId="0" fontId="162" fillId="0" borderId="0" xfId="5" applyFont="1" applyAlignment="1" applyProtection="1">
      <alignment horizontal="center"/>
      <protection locked="0"/>
    </xf>
    <xf numFmtId="0" fontId="47" fillId="0" borderId="0" xfId="5" applyFont="1" applyAlignment="1" applyProtection="1">
      <alignment horizontal="center"/>
      <protection locked="0"/>
    </xf>
    <xf numFmtId="0" fontId="20" fillId="0" borderId="0" xfId="5" applyFont="1" applyAlignment="1" applyProtection="1">
      <alignment horizontal="center" vertical="center"/>
      <protection locked="0"/>
    </xf>
    <xf numFmtId="170" fontId="65" fillId="62" borderId="125" xfId="5" applyNumberFormat="1" applyFont="1" applyFill="1" applyBorder="1" applyAlignment="1" applyProtection="1">
      <alignment horizontal="center" vertical="center" wrapText="1"/>
      <protection hidden="1"/>
    </xf>
    <xf numFmtId="0" fontId="35" fillId="0" borderId="14" xfId="0" applyFont="1" applyBorder="1" applyAlignment="1" applyProtection="1">
      <alignment horizontal="center" vertical="center" wrapText="1"/>
      <protection hidden="1"/>
    </xf>
    <xf numFmtId="0" fontId="35" fillId="0" borderId="0" xfId="0" applyFont="1" applyAlignment="1" applyProtection="1">
      <alignment horizontal="center" vertical="center"/>
      <protection hidden="1"/>
    </xf>
    <xf numFmtId="0" fontId="66" fillId="0" borderId="0" xfId="0" applyFont="1" applyProtection="1">
      <protection locked="0"/>
    </xf>
    <xf numFmtId="0" fontId="66" fillId="0" borderId="13" xfId="0" applyFont="1" applyBorder="1" applyProtection="1">
      <protection locked="0"/>
    </xf>
    <xf numFmtId="9" fontId="66" fillId="0" borderId="0" xfId="2" applyFont="1" applyProtection="1">
      <protection locked="0"/>
    </xf>
    <xf numFmtId="9" fontId="35" fillId="62" borderId="125" xfId="0" applyNumberFormat="1" applyFont="1" applyFill="1" applyBorder="1" applyAlignment="1" applyProtection="1">
      <alignment horizontal="center" vertical="center" wrapText="1"/>
      <protection hidden="1"/>
    </xf>
    <xf numFmtId="0" fontId="35" fillId="0" borderId="125" xfId="0" applyFont="1" applyBorder="1" applyAlignment="1" applyProtection="1">
      <alignment horizontal="center" vertical="center" wrapText="1"/>
      <protection hidden="1"/>
    </xf>
    <xf numFmtId="0" fontId="51" fillId="0" borderId="0" xfId="5" applyFont="1" applyAlignment="1" applyProtection="1">
      <alignment horizontal="center" vertical="center"/>
      <protection locked="0"/>
    </xf>
    <xf numFmtId="0" fontId="14" fillId="0" borderId="0" xfId="5" applyFont="1" applyAlignment="1" applyProtection="1">
      <alignment horizontal="center" vertical="center"/>
      <protection locked="0"/>
    </xf>
    <xf numFmtId="0" fontId="19" fillId="0" borderId="0" xfId="5" applyFont="1" applyAlignment="1" applyProtection="1">
      <alignment horizontal="right" vertical="center"/>
      <protection locked="0"/>
    </xf>
    <xf numFmtId="0" fontId="162" fillId="0" borderId="0" xfId="5" applyFont="1" applyAlignment="1" applyProtection="1">
      <alignment horizontal="right" vertical="center"/>
      <protection locked="0"/>
    </xf>
    <xf numFmtId="0" fontId="62" fillId="0" borderId="0" xfId="0" applyFont="1" applyProtection="1">
      <protection locked="0"/>
    </xf>
    <xf numFmtId="0" fontId="62" fillId="0" borderId="42" xfId="0" applyFont="1" applyBorder="1" applyProtection="1">
      <protection locked="0"/>
    </xf>
    <xf numFmtId="9" fontId="62" fillId="0" borderId="0" xfId="2" applyFont="1" applyProtection="1">
      <protection locked="0"/>
    </xf>
    <xf numFmtId="9" fontId="62" fillId="0" borderId="89" xfId="2" applyFont="1" applyBorder="1" applyProtection="1">
      <protection locked="0"/>
    </xf>
    <xf numFmtId="9" fontId="62" fillId="0" borderId="90" xfId="2" applyFont="1" applyBorder="1" applyProtection="1">
      <protection locked="0"/>
    </xf>
    <xf numFmtId="9" fontId="62" fillId="0" borderId="0" xfId="0" applyNumberFormat="1" applyFont="1" applyProtection="1">
      <protection locked="0"/>
    </xf>
    <xf numFmtId="9" fontId="62" fillId="0" borderId="91" xfId="2" applyFont="1" applyBorder="1" applyProtection="1">
      <protection locked="0"/>
    </xf>
    <xf numFmtId="0" fontId="62" fillId="0" borderId="44" xfId="0" applyFont="1" applyBorder="1" applyProtection="1">
      <protection locked="0"/>
    </xf>
    <xf numFmtId="0" fontId="62" fillId="0" borderId="89" xfId="0" applyFont="1" applyBorder="1" applyProtection="1">
      <protection locked="0"/>
    </xf>
    <xf numFmtId="0" fontId="14" fillId="0" borderId="33" xfId="0" applyFont="1" applyBorder="1" applyProtection="1">
      <protection hidden="1"/>
    </xf>
    <xf numFmtId="0" fontId="14" fillId="0" borderId="13" xfId="0" applyFont="1" applyBorder="1" applyProtection="1">
      <protection hidden="1"/>
    </xf>
    <xf numFmtId="14" fontId="14" fillId="0" borderId="33" xfId="0" applyNumberFormat="1" applyFont="1" applyBorder="1" applyAlignment="1" applyProtection="1">
      <alignment horizontal="left"/>
      <protection hidden="1"/>
    </xf>
    <xf numFmtId="14" fontId="14" fillId="0" borderId="33" xfId="0" applyNumberFormat="1" applyFont="1" applyBorder="1" applyProtection="1">
      <protection hidden="1"/>
    </xf>
    <xf numFmtId="167" fontId="14" fillId="0" borderId="13" xfId="18" applyNumberFormat="1" applyFont="1" applyBorder="1" applyAlignment="1" applyProtection="1">
      <alignment vertical="center"/>
      <protection hidden="1"/>
    </xf>
    <xf numFmtId="177" fontId="14" fillId="0" borderId="13" xfId="17" applyNumberFormat="1" applyFont="1" applyBorder="1" applyProtection="1">
      <protection hidden="1"/>
    </xf>
    <xf numFmtId="177" fontId="14" fillId="0" borderId="33" xfId="17" applyNumberFormat="1" applyFont="1" applyBorder="1" applyProtection="1">
      <protection hidden="1"/>
    </xf>
    <xf numFmtId="0" fontId="51" fillId="43" borderId="4" xfId="0" applyFont="1" applyFill="1" applyBorder="1" applyAlignment="1" applyProtection="1">
      <alignment horizontal="center" vertical="center" wrapText="1"/>
      <protection locked="0"/>
    </xf>
    <xf numFmtId="0" fontId="14" fillId="0" borderId="0" xfId="0" applyFont="1" applyAlignment="1" applyProtection="1">
      <alignment horizontal="center"/>
      <protection locked="0"/>
    </xf>
    <xf numFmtId="0" fontId="35" fillId="0" borderId="0" xfId="0" applyFont="1" applyAlignment="1" applyProtection="1">
      <alignment vertical="center" wrapText="1"/>
      <protection locked="0"/>
    </xf>
    <xf numFmtId="0" fontId="14" fillId="0" borderId="19" xfId="0" applyFont="1" applyBorder="1" applyAlignment="1" applyProtection="1">
      <alignment vertical="center"/>
      <protection locked="0"/>
    </xf>
    <xf numFmtId="177" fontId="51" fillId="43" borderId="4" xfId="17" applyNumberFormat="1" applyFont="1" applyFill="1" applyBorder="1" applyAlignment="1" applyProtection="1">
      <alignment horizontal="center" vertical="center" wrapText="1"/>
      <protection locked="0"/>
    </xf>
    <xf numFmtId="0" fontId="69" fillId="0" borderId="4" xfId="0" applyFont="1" applyBorder="1" applyAlignment="1" applyProtection="1">
      <alignment horizontal="left" vertical="center" wrapText="1"/>
      <protection locked="0"/>
    </xf>
    <xf numFmtId="177" fontId="69" fillId="0" borderId="4" xfId="17" applyNumberFormat="1" applyFont="1" applyFill="1" applyBorder="1" applyAlignment="1" applyProtection="1">
      <alignment horizontal="right" vertical="center" wrapText="1"/>
      <protection locked="0"/>
    </xf>
    <xf numFmtId="177" fontId="69" fillId="0" borderId="4" xfId="17" applyNumberFormat="1" applyFont="1" applyFill="1" applyBorder="1" applyAlignment="1" applyProtection="1">
      <alignment horizontal="right" vertical="center"/>
      <protection locked="0"/>
    </xf>
    <xf numFmtId="10" fontId="69" fillId="0" borderId="4" xfId="2" applyNumberFormat="1" applyFont="1" applyFill="1" applyBorder="1" applyAlignment="1" applyProtection="1">
      <alignment horizontal="right" vertical="center"/>
      <protection locked="0"/>
    </xf>
    <xf numFmtId="0" fontId="69" fillId="0" borderId="4" xfId="0" applyFont="1" applyBorder="1" applyAlignment="1" applyProtection="1">
      <alignment vertical="center" wrapText="1"/>
      <protection locked="0"/>
    </xf>
    <xf numFmtId="10" fontId="69" fillId="0" borderId="4" xfId="2" applyNumberFormat="1" applyFont="1" applyFill="1" applyBorder="1" applyAlignment="1" applyProtection="1">
      <alignment horizontal="center"/>
      <protection locked="0"/>
    </xf>
    <xf numFmtId="10" fontId="69" fillId="0" borderId="4" xfId="2" applyNumberFormat="1" applyFont="1" applyFill="1" applyBorder="1" applyProtection="1">
      <protection locked="0"/>
    </xf>
    <xf numFmtId="0" fontId="69" fillId="0" borderId="4" xfId="0" applyFont="1" applyBorder="1" applyAlignment="1" applyProtection="1">
      <alignment horizontal="center"/>
      <protection locked="0"/>
    </xf>
    <xf numFmtId="0" fontId="69" fillId="0" borderId="0" xfId="0" applyFont="1" applyProtection="1">
      <protection locked="0"/>
    </xf>
    <xf numFmtId="0" fontId="69" fillId="0" borderId="4" xfId="0" applyFont="1" applyBorder="1" applyProtection="1">
      <protection locked="0"/>
    </xf>
    <xf numFmtId="177" fontId="14" fillId="0" borderId="0" xfId="17" applyNumberFormat="1" applyFont="1" applyProtection="1">
      <protection locked="0"/>
    </xf>
    <xf numFmtId="0" fontId="47" fillId="36" borderId="4" xfId="0" applyFont="1" applyFill="1" applyBorder="1" applyAlignment="1" applyProtection="1">
      <alignment vertical="center"/>
      <protection hidden="1"/>
    </xf>
    <xf numFmtId="0" fontId="9" fillId="36" borderId="4" xfId="0" applyFont="1" applyFill="1" applyBorder="1" applyAlignment="1" applyProtection="1">
      <alignment vertical="center"/>
      <protection hidden="1"/>
    </xf>
    <xf numFmtId="0" fontId="47" fillId="13" borderId="4" xfId="0" applyFont="1" applyFill="1" applyBorder="1" applyAlignment="1" applyProtection="1">
      <alignment horizontal="center" vertical="center"/>
      <protection hidden="1"/>
    </xf>
    <xf numFmtId="0" fontId="47" fillId="0" borderId="21" xfId="0" applyFont="1" applyBorder="1" applyAlignment="1" applyProtection="1">
      <alignment horizontal="center" vertical="center"/>
      <protection hidden="1"/>
    </xf>
    <xf numFmtId="0" fontId="47" fillId="36" borderId="93" xfId="0" applyFont="1" applyFill="1" applyBorder="1" applyAlignment="1" applyProtection="1">
      <alignment vertical="center"/>
      <protection hidden="1"/>
    </xf>
    <xf numFmtId="0" fontId="35" fillId="0" borderId="14" xfId="0" applyFont="1" applyBorder="1" applyAlignment="1" applyProtection="1">
      <alignment horizontal="justify" vertical="center"/>
      <protection hidden="1"/>
    </xf>
    <xf numFmtId="0" fontId="74" fillId="0" borderId="14" xfId="0" applyFont="1" applyBorder="1" applyAlignment="1" applyProtection="1">
      <alignment horizontal="justify" vertical="center"/>
      <protection hidden="1"/>
    </xf>
    <xf numFmtId="0" fontId="47" fillId="13" borderId="4" xfId="0" applyFont="1" applyFill="1" applyBorder="1" applyAlignment="1" applyProtection="1">
      <alignment horizontal="justify" vertical="center"/>
      <protection hidden="1"/>
    </xf>
    <xf numFmtId="170" fontId="47" fillId="13" borderId="4" xfId="0" applyNumberFormat="1" applyFont="1" applyFill="1" applyBorder="1" applyAlignment="1" applyProtection="1">
      <alignment horizontal="center" vertical="center"/>
      <protection hidden="1"/>
    </xf>
    <xf numFmtId="170" fontId="47" fillId="0" borderId="0" xfId="0" applyNumberFormat="1" applyFont="1" applyAlignment="1" applyProtection="1">
      <alignment horizontal="center" vertical="center"/>
      <protection hidden="1"/>
    </xf>
    <xf numFmtId="0" fontId="35" fillId="11" borderId="4" xfId="0" applyFont="1" applyFill="1" applyBorder="1" applyAlignment="1" applyProtection="1">
      <alignment horizontal="justify" vertical="center"/>
      <protection hidden="1"/>
    </xf>
    <xf numFmtId="0" fontId="14" fillId="50" borderId="0" xfId="5" applyFont="1" applyFill="1" applyAlignment="1" applyProtection="1">
      <alignment vertical="center" wrapText="1"/>
      <protection hidden="1"/>
    </xf>
    <xf numFmtId="0" fontId="108" fillId="50" borderId="0" xfId="5" applyFont="1" applyFill="1" applyAlignment="1" applyProtection="1">
      <alignment vertical="center" wrapText="1"/>
      <protection hidden="1"/>
    </xf>
    <xf numFmtId="0" fontId="9" fillId="0" borderId="4" xfId="0" applyFont="1" applyBorder="1" applyAlignment="1" applyProtection="1">
      <alignment horizontal="right" vertical="center" wrapText="1"/>
      <protection hidden="1"/>
    </xf>
    <xf numFmtId="0" fontId="109" fillId="0" borderId="0" xfId="0" applyFont="1" applyAlignment="1" applyProtection="1">
      <alignment horizontal="left" wrapText="1"/>
      <protection hidden="1"/>
    </xf>
    <xf numFmtId="0" fontId="10" fillId="20" borderId="14" xfId="5" applyFont="1" applyFill="1" applyBorder="1" applyAlignment="1" applyProtection="1">
      <alignment horizontal="center" vertical="center" wrapText="1"/>
      <protection hidden="1"/>
    </xf>
    <xf numFmtId="0" fontId="19" fillId="20" borderId="14" xfId="5" applyFont="1" applyFill="1" applyBorder="1" applyAlignment="1" applyProtection="1">
      <alignment horizontal="justify" vertical="center" wrapText="1"/>
      <protection hidden="1"/>
    </xf>
    <xf numFmtId="0" fontId="19" fillId="20" borderId="14" xfId="5" applyFont="1" applyFill="1" applyBorder="1" applyAlignment="1" applyProtection="1">
      <alignment horizontal="center" vertical="center" wrapText="1"/>
      <protection hidden="1"/>
    </xf>
    <xf numFmtId="0" fontId="19" fillId="20" borderId="4" xfId="5" applyFont="1" applyFill="1" applyBorder="1" applyAlignment="1" applyProtection="1">
      <alignment horizontal="center" vertical="center" wrapText="1"/>
      <protection hidden="1"/>
    </xf>
    <xf numFmtId="0" fontId="14" fillId="13" borderId="0" xfId="5" applyFont="1" applyFill="1" applyAlignment="1" applyProtection="1">
      <alignment vertical="center" wrapText="1"/>
      <protection hidden="1"/>
    </xf>
    <xf numFmtId="0" fontId="28" fillId="50" borderId="0" xfId="5" applyFont="1" applyFill="1" applyAlignment="1" applyProtection="1">
      <alignment horizontal="center" vertical="center" wrapText="1"/>
      <protection hidden="1"/>
    </xf>
    <xf numFmtId="3" fontId="20" fillId="50" borderId="4" xfId="5" applyNumberFormat="1" applyFont="1" applyFill="1" applyBorder="1" applyAlignment="1" applyProtection="1">
      <alignment vertical="center" wrapText="1"/>
      <protection hidden="1"/>
    </xf>
    <xf numFmtId="43" fontId="25" fillId="0" borderId="4" xfId="18" applyFont="1" applyBorder="1" applyAlignment="1" applyProtection="1">
      <alignment vertical="center"/>
      <protection locked="0"/>
    </xf>
    <xf numFmtId="43" fontId="14" fillId="0" borderId="4" xfId="18" applyFont="1" applyBorder="1" applyAlignment="1" applyProtection="1">
      <alignment vertical="center"/>
      <protection locked="0"/>
    </xf>
    <xf numFmtId="43" fontId="14" fillId="0" borderId="22" xfId="18" applyFont="1" applyBorder="1" applyAlignment="1" applyProtection="1">
      <alignment vertical="center"/>
      <protection locked="0"/>
    </xf>
    <xf numFmtId="0" fontId="25" fillId="0" borderId="4"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25" fillId="0" borderId="17"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wrapText="1"/>
      <protection locked="0"/>
    </xf>
    <xf numFmtId="43" fontId="25" fillId="0" borderId="11" xfId="18" applyFont="1" applyBorder="1" applyAlignment="1" applyProtection="1">
      <alignment vertical="center"/>
      <protection locked="0"/>
    </xf>
    <xf numFmtId="0" fontId="25" fillId="0" borderId="11"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14" fillId="0" borderId="10" xfId="0" applyFont="1" applyBorder="1" applyAlignment="1" applyProtection="1">
      <alignment vertical="center"/>
      <protection locked="0"/>
    </xf>
    <xf numFmtId="0" fontId="14" fillId="0" borderId="12" xfId="0" applyFont="1" applyBorder="1" applyAlignment="1" applyProtection="1">
      <alignment vertical="center"/>
      <protection locked="0"/>
    </xf>
    <xf numFmtId="0" fontId="14" fillId="0" borderId="16" xfId="0" applyFont="1" applyBorder="1" applyAlignment="1" applyProtection="1">
      <alignment vertical="center"/>
      <protection locked="0"/>
    </xf>
    <xf numFmtId="0" fontId="14" fillId="0" borderId="17" xfId="0" applyFont="1" applyBorder="1" applyAlignment="1" applyProtection="1">
      <alignment vertical="center"/>
      <protection locked="0"/>
    </xf>
    <xf numFmtId="0" fontId="14" fillId="0" borderId="29" xfId="0" applyFont="1" applyBorder="1" applyAlignment="1" applyProtection="1">
      <alignment vertical="center"/>
      <protection locked="0"/>
    </xf>
    <xf numFmtId="0" fontId="14" fillId="0" borderId="28" xfId="0" applyFont="1" applyBorder="1" applyAlignment="1" applyProtection="1">
      <alignment vertical="center"/>
      <protection locked="0"/>
    </xf>
    <xf numFmtId="0" fontId="14" fillId="0" borderId="48" xfId="0" applyFont="1" applyBorder="1" applyAlignment="1" applyProtection="1">
      <alignment vertical="center"/>
      <protection locked="0"/>
    </xf>
    <xf numFmtId="0" fontId="14" fillId="0" borderId="21" xfId="0" applyFont="1" applyBorder="1" applyAlignment="1" applyProtection="1">
      <alignment vertical="center"/>
      <protection locked="0"/>
    </xf>
    <xf numFmtId="0" fontId="14" fillId="0" borderId="18" xfId="0" applyFont="1" applyBorder="1" applyAlignment="1" applyProtection="1">
      <alignment vertical="center"/>
      <protection locked="0"/>
    </xf>
    <xf numFmtId="0" fontId="14" fillId="0" borderId="23" xfId="0" applyFont="1" applyBorder="1" applyAlignment="1" applyProtection="1">
      <alignment vertical="center"/>
      <protection locked="0"/>
    </xf>
    <xf numFmtId="0" fontId="14" fillId="0" borderId="103" xfId="0" applyFont="1" applyBorder="1" applyAlignment="1" applyProtection="1">
      <alignment horizontal="center" vertical="center"/>
      <protection locked="0"/>
    </xf>
    <xf numFmtId="0" fontId="14" fillId="0" borderId="103"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97" xfId="0" applyFont="1" applyBorder="1" applyAlignment="1" applyProtection="1">
      <alignment horizontal="center" vertical="center"/>
      <protection locked="0"/>
    </xf>
    <xf numFmtId="0" fontId="14" fillId="0" borderId="134" xfId="0" applyFont="1" applyBorder="1" applyAlignment="1" applyProtection="1">
      <alignment vertical="center"/>
      <protection locked="0"/>
    </xf>
    <xf numFmtId="0" fontId="14" fillId="0" borderId="5" xfId="0" applyFont="1" applyBorder="1" applyAlignment="1" applyProtection="1">
      <alignment vertical="center"/>
      <protection locked="0"/>
    </xf>
    <xf numFmtId="179" fontId="59" fillId="0" borderId="4" xfId="0" applyNumberFormat="1" applyFont="1" applyBorder="1" applyAlignment="1" applyProtection="1">
      <alignment vertical="center"/>
      <protection hidden="1"/>
    </xf>
    <xf numFmtId="179" fontId="100" fillId="0" borderId="4" xfId="0" applyNumberFormat="1" applyFont="1" applyBorder="1" applyAlignment="1" applyProtection="1">
      <alignment horizontal="center" vertical="center"/>
      <protection hidden="1"/>
    </xf>
    <xf numFmtId="179" fontId="71" fillId="9" borderId="4" xfId="0" applyNumberFormat="1" applyFont="1" applyFill="1" applyBorder="1" applyAlignment="1" applyProtection="1">
      <alignment horizontal="center" vertical="center"/>
      <protection hidden="1"/>
    </xf>
    <xf numFmtId="179" fontId="59" fillId="0" borderId="4" xfId="0" applyNumberFormat="1" applyFont="1" applyBorder="1" applyProtection="1">
      <protection hidden="1"/>
    </xf>
    <xf numFmtId="0" fontId="100" fillId="0" borderId="4" xfId="0" applyFont="1" applyBorder="1" applyAlignment="1" applyProtection="1">
      <alignment horizontal="center" vertical="center"/>
      <protection hidden="1"/>
    </xf>
    <xf numFmtId="0" fontId="83" fillId="0" borderId="0" xfId="0" applyFont="1" applyAlignment="1" applyProtection="1">
      <alignment horizontal="center" vertical="center"/>
      <protection hidden="1"/>
    </xf>
    <xf numFmtId="0" fontId="174" fillId="0" borderId="0" xfId="0" applyFont="1" applyAlignment="1" applyProtection="1">
      <alignment horizontal="center" vertical="center"/>
      <protection hidden="1"/>
    </xf>
    <xf numFmtId="0" fontId="87" fillId="0" borderId="4" xfId="0" applyFont="1" applyBorder="1" applyAlignment="1" applyProtection="1">
      <alignment horizontal="center" vertical="center" wrapText="1"/>
      <protection hidden="1"/>
    </xf>
    <xf numFmtId="0" fontId="86" fillId="0" borderId="4" xfId="0" applyFont="1" applyBorder="1" applyAlignment="1" applyProtection="1">
      <alignment horizontal="center" vertical="center" wrapText="1"/>
      <protection hidden="1"/>
    </xf>
    <xf numFmtId="0" fontId="87" fillId="25" borderId="4" xfId="0" applyFont="1" applyFill="1" applyBorder="1" applyAlignment="1" applyProtection="1">
      <alignment horizontal="center" vertical="center"/>
      <protection hidden="1"/>
    </xf>
    <xf numFmtId="0" fontId="176" fillId="25" borderId="4" xfId="0" applyFont="1" applyFill="1" applyBorder="1" applyAlignment="1" applyProtection="1">
      <alignment horizontal="center" vertical="center"/>
      <protection hidden="1"/>
    </xf>
    <xf numFmtId="0" fontId="89" fillId="25" borderId="93" xfId="0" applyFont="1" applyFill="1" applyBorder="1" applyAlignment="1" applyProtection="1">
      <alignment horizontal="center" vertical="center" wrapText="1"/>
      <protection hidden="1"/>
    </xf>
    <xf numFmtId="170" fontId="91" fillId="0" borderId="4" xfId="2" applyNumberFormat="1" applyFont="1" applyFill="1" applyBorder="1" applyAlignment="1" applyProtection="1">
      <alignment horizontal="center" vertical="center"/>
      <protection hidden="1"/>
    </xf>
    <xf numFmtId="0" fontId="0" fillId="0" borderId="4" xfId="0" applyBorder="1" applyAlignment="1" applyProtection="1">
      <alignment horizontal="left" vertical="center" wrapText="1"/>
      <protection hidden="1"/>
    </xf>
    <xf numFmtId="0" fontId="71" fillId="0" borderId="4" xfId="0" applyFont="1" applyBorder="1" applyAlignment="1" applyProtection="1">
      <alignment horizontal="left" vertical="center" wrapText="1"/>
      <protection hidden="1"/>
    </xf>
    <xf numFmtId="0" fontId="0" fillId="0" borderId="0" xfId="0" applyAlignment="1" applyProtection="1">
      <alignment horizontal="center" vertical="top" wrapText="1"/>
      <protection hidden="1"/>
    </xf>
    <xf numFmtId="0" fontId="59" fillId="46" borderId="4" xfId="0" applyFont="1" applyFill="1" applyBorder="1" applyAlignment="1" applyProtection="1">
      <alignment horizontal="center" vertical="center" wrapText="1"/>
      <protection hidden="1"/>
    </xf>
    <xf numFmtId="0" fontId="83" fillId="25" borderId="4" xfId="0" applyFont="1" applyFill="1" applyBorder="1" applyAlignment="1" applyProtection="1">
      <alignment horizontal="center" vertical="center" wrapText="1"/>
      <protection hidden="1"/>
    </xf>
    <xf numFmtId="0" fontId="83" fillId="25" borderId="93" xfId="0" applyFont="1" applyFill="1" applyBorder="1" applyAlignment="1" applyProtection="1">
      <alignment horizontal="center" vertical="center"/>
      <protection hidden="1"/>
    </xf>
    <xf numFmtId="0" fontId="59" fillId="25" borderId="93" xfId="0" applyFont="1" applyFill="1" applyBorder="1" applyAlignment="1" applyProtection="1">
      <alignment horizontal="center" vertical="center"/>
      <protection hidden="1"/>
    </xf>
    <xf numFmtId="0" fontId="59" fillId="25" borderId="4" xfId="0" applyFont="1" applyFill="1" applyBorder="1" applyAlignment="1" applyProtection="1">
      <alignment horizontal="center" vertical="center" wrapText="1"/>
      <protection hidden="1"/>
    </xf>
    <xf numFmtId="0" fontId="93" fillId="25" borderId="4" xfId="0" applyFont="1" applyFill="1" applyBorder="1" applyAlignment="1" applyProtection="1">
      <alignment horizontal="center" vertical="center" wrapText="1"/>
      <protection hidden="1"/>
    </xf>
    <xf numFmtId="0" fontId="0" fillId="0" borderId="4" xfId="0" applyBorder="1" applyAlignment="1" applyProtection="1">
      <alignment vertical="center"/>
      <protection hidden="1"/>
    </xf>
    <xf numFmtId="9" fontId="0" fillId="0" borderId="4" xfId="0" applyNumberFormat="1" applyBorder="1" applyAlignment="1" applyProtection="1">
      <alignment horizontal="center" vertical="center"/>
      <protection hidden="1"/>
    </xf>
    <xf numFmtId="0" fontId="0" fillId="0" borderId="9" xfId="0" applyBorder="1" applyAlignment="1" applyProtection="1">
      <alignment vertical="center"/>
      <protection hidden="1"/>
    </xf>
    <xf numFmtId="0" fontId="0" fillId="0" borderId="4" xfId="0" applyBorder="1" applyAlignment="1" applyProtection="1">
      <alignment vertical="center" wrapText="1"/>
      <protection hidden="1"/>
    </xf>
    <xf numFmtId="175" fontId="172" fillId="0" borderId="4" xfId="0" applyNumberFormat="1" applyFont="1" applyBorder="1" applyAlignment="1" applyProtection="1">
      <alignment vertical="center" wrapText="1"/>
      <protection hidden="1"/>
    </xf>
    <xf numFmtId="41" fontId="172" fillId="0" borderId="4" xfId="19" applyFont="1" applyBorder="1" applyAlignment="1" applyProtection="1">
      <alignment vertical="center"/>
      <protection hidden="1"/>
    </xf>
    <xf numFmtId="0" fontId="172" fillId="0" borderId="4" xfId="0" applyFont="1" applyBorder="1" applyAlignment="1" applyProtection="1">
      <alignment vertical="center" wrapText="1"/>
      <protection hidden="1"/>
    </xf>
    <xf numFmtId="0" fontId="87" fillId="25" borderId="4" xfId="0" applyFont="1" applyFill="1" applyBorder="1" applyAlignment="1" applyProtection="1">
      <alignment horizontal="center" vertical="center"/>
      <protection locked="0"/>
    </xf>
    <xf numFmtId="0" fontId="82" fillId="25" borderId="4" xfId="0" applyFont="1" applyFill="1" applyBorder="1" applyAlignment="1" applyProtection="1">
      <alignment horizontal="center" vertical="center"/>
      <protection locked="0"/>
    </xf>
    <xf numFmtId="0" fontId="91" fillId="20" borderId="4" xfId="0" applyFont="1" applyFill="1" applyBorder="1" applyAlignment="1" applyProtection="1">
      <alignment horizontal="center" vertical="center"/>
      <protection locked="0"/>
    </xf>
    <xf numFmtId="0" fontId="174" fillId="20" borderId="4" xfId="0" applyFont="1" applyFill="1" applyBorder="1" applyAlignment="1" applyProtection="1">
      <alignment horizontal="center" vertical="center"/>
      <protection locked="0"/>
    </xf>
    <xf numFmtId="179" fontId="59" fillId="0" borderId="4" xfId="0" applyNumberFormat="1"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114" fillId="0" borderId="10" xfId="5" applyFont="1" applyBorder="1" applyAlignment="1" applyProtection="1">
      <alignment horizontal="center" vertical="center" wrapText="1"/>
      <protection hidden="1"/>
    </xf>
    <xf numFmtId="0" fontId="53" fillId="0" borderId="11" xfId="5" applyFont="1" applyBorder="1" applyAlignment="1" applyProtection="1">
      <alignment horizontal="justify" vertical="center" wrapText="1"/>
      <protection hidden="1"/>
    </xf>
    <xf numFmtId="0" fontId="53" fillId="0" borderId="11" xfId="5" applyFont="1" applyBorder="1" applyAlignment="1" applyProtection="1">
      <alignment horizontal="center" vertical="center" wrapText="1"/>
      <protection hidden="1"/>
    </xf>
    <xf numFmtId="10" fontId="108" fillId="0" borderId="12" xfId="5" applyNumberFormat="1" applyFont="1" applyBorder="1" applyAlignment="1" applyProtection="1">
      <alignment horizontal="center" vertical="center"/>
      <protection hidden="1"/>
    </xf>
    <xf numFmtId="0" fontId="114" fillId="0" borderId="16" xfId="5" applyFont="1" applyBorder="1" applyAlignment="1" applyProtection="1">
      <alignment horizontal="center" vertical="center" wrapText="1"/>
      <protection hidden="1"/>
    </xf>
    <xf numFmtId="0" fontId="53" fillId="0" borderId="4" xfId="5" applyFont="1" applyBorder="1" applyAlignment="1" applyProtection="1">
      <alignment horizontal="justify" vertical="center" wrapText="1"/>
      <protection hidden="1"/>
    </xf>
    <xf numFmtId="0" fontId="53" fillId="0" borderId="4" xfId="5" applyFont="1" applyBorder="1" applyAlignment="1" applyProtection="1">
      <alignment horizontal="center" vertical="center" wrapText="1"/>
      <protection hidden="1"/>
    </xf>
    <xf numFmtId="10" fontId="108" fillId="0" borderId="17" xfId="5" applyNumberFormat="1" applyFont="1" applyBorder="1" applyAlignment="1" applyProtection="1">
      <alignment horizontal="center" vertical="center"/>
      <protection hidden="1"/>
    </xf>
    <xf numFmtId="0" fontId="27" fillId="0" borderId="16" xfId="5" applyFont="1" applyBorder="1" applyAlignment="1" applyProtection="1">
      <alignment horizontal="center" vertical="center" wrapText="1"/>
      <protection hidden="1"/>
    </xf>
    <xf numFmtId="0" fontId="9" fillId="0" borderId="4" xfId="5" applyFont="1" applyBorder="1" applyAlignment="1" applyProtection="1">
      <alignment horizontal="justify" vertical="center" wrapText="1"/>
      <protection hidden="1"/>
    </xf>
    <xf numFmtId="0" fontId="9" fillId="0" borderId="4" xfId="5" applyFont="1" applyBorder="1" applyAlignment="1" applyProtection="1">
      <alignment horizontal="center" vertical="center" wrapText="1"/>
      <protection hidden="1"/>
    </xf>
    <xf numFmtId="0" fontId="114" fillId="0" borderId="25" xfId="5" applyFont="1" applyBorder="1" applyAlignment="1" applyProtection="1">
      <alignment horizontal="center" vertical="center" wrapText="1"/>
      <protection hidden="1"/>
    </xf>
    <xf numFmtId="0" fontId="53" fillId="0" borderId="22" xfId="5" applyFont="1" applyBorder="1" applyAlignment="1" applyProtection="1">
      <alignment horizontal="justify" vertical="center" wrapText="1"/>
      <protection hidden="1"/>
    </xf>
    <xf numFmtId="0" fontId="53" fillId="0" borderId="22" xfId="5" applyFont="1" applyBorder="1" applyAlignment="1" applyProtection="1">
      <alignment horizontal="center" vertical="center" wrapText="1"/>
      <protection hidden="1"/>
    </xf>
    <xf numFmtId="10" fontId="108" fillId="0" borderId="23" xfId="5" applyNumberFormat="1" applyFont="1" applyBorder="1" applyAlignment="1" applyProtection="1">
      <alignment horizontal="center" vertical="center"/>
      <protection hidden="1"/>
    </xf>
    <xf numFmtId="9" fontId="53" fillId="15" borderId="4" xfId="2" applyFont="1" applyFill="1" applyBorder="1" applyAlignment="1" applyProtection="1">
      <alignment horizontal="center" vertical="center" wrapText="1"/>
      <protection locked="0"/>
    </xf>
    <xf numFmtId="0" fontId="53" fillId="0" borderId="11" xfId="5" applyFont="1" applyBorder="1" applyAlignment="1">
      <alignment horizontal="justify" vertical="center" wrapText="1"/>
    </xf>
    <xf numFmtId="0" fontId="53" fillId="0" borderId="4" xfId="5" applyFont="1" applyBorder="1" applyAlignment="1">
      <alignment horizontal="justify" vertical="center" wrapText="1"/>
    </xf>
    <xf numFmtId="0" fontId="9" fillId="0" borderId="4" xfId="5" applyFont="1" applyBorder="1" applyAlignment="1">
      <alignment horizontal="justify" vertical="center" wrapText="1"/>
    </xf>
    <xf numFmtId="0" fontId="53" fillId="0" borderId="22" xfId="5" applyFont="1" applyBorder="1" applyAlignment="1">
      <alignment horizontal="justify" vertical="center" wrapText="1"/>
    </xf>
    <xf numFmtId="167" fontId="23" fillId="61" borderId="45" xfId="4" applyNumberFormat="1" applyFont="1" applyFill="1" applyBorder="1" applyAlignment="1" applyProtection="1">
      <alignment horizontal="center" vertical="center" wrapText="1"/>
      <protection hidden="1"/>
    </xf>
    <xf numFmtId="167" fontId="23" fillId="61" borderId="45" xfId="24" applyNumberFormat="1" applyFont="1" applyFill="1" applyBorder="1" applyAlignment="1" applyProtection="1">
      <alignment horizontal="center" vertical="center" wrapText="1"/>
      <protection hidden="1"/>
    </xf>
    <xf numFmtId="0" fontId="25" fillId="47" borderId="4" xfId="0" applyFont="1" applyFill="1" applyBorder="1" applyAlignment="1" applyProtection="1">
      <alignment vertical="center" wrapText="1"/>
      <protection hidden="1"/>
    </xf>
    <xf numFmtId="0" fontId="14" fillId="47" borderId="4" xfId="0" applyFont="1" applyFill="1" applyBorder="1" applyAlignment="1" applyProtection="1">
      <alignment horizontal="center" vertical="center"/>
      <protection hidden="1"/>
    </xf>
    <xf numFmtId="10" fontId="25" fillId="47" borderId="4" xfId="0" applyNumberFormat="1" applyFont="1" applyFill="1" applyBorder="1" applyAlignment="1" applyProtection="1">
      <alignment horizontal="center" vertical="center"/>
      <protection hidden="1"/>
    </xf>
    <xf numFmtId="10" fontId="25" fillId="46" borderId="4" xfId="0" applyNumberFormat="1" applyFont="1" applyFill="1" applyBorder="1" applyAlignment="1" applyProtection="1">
      <alignment horizontal="center" vertical="center"/>
      <protection hidden="1"/>
    </xf>
    <xf numFmtId="0" fontId="14" fillId="46" borderId="4" xfId="0" applyFont="1" applyFill="1" applyBorder="1" applyAlignment="1" applyProtection="1">
      <alignment horizontal="center" vertical="center"/>
      <protection hidden="1"/>
    </xf>
    <xf numFmtId="10" fontId="19" fillId="0" borderId="4" xfId="0" applyNumberFormat="1" applyFont="1" applyBorder="1" applyAlignment="1" applyProtection="1">
      <alignment horizontal="center" vertical="center"/>
      <protection hidden="1"/>
    </xf>
    <xf numFmtId="0" fontId="19" fillId="0" borderId="14" xfId="0" applyFont="1" applyBorder="1" applyAlignment="1" applyProtection="1">
      <alignment horizontal="center" vertical="center"/>
      <protection hidden="1"/>
    </xf>
    <xf numFmtId="9" fontId="14" fillId="0" borderId="0" xfId="2" applyFont="1" applyAlignment="1" applyProtection="1">
      <alignment vertical="center"/>
      <protection hidden="1"/>
    </xf>
    <xf numFmtId="0" fontId="25" fillId="34" borderId="4" xfId="0" applyFont="1" applyFill="1" applyBorder="1" applyAlignment="1" applyProtection="1">
      <alignment horizontal="justify" vertical="center"/>
      <protection hidden="1"/>
    </xf>
    <xf numFmtId="2" fontId="25" fillId="0" borderId="4" xfId="0" applyNumberFormat="1" applyFont="1" applyBorder="1" applyAlignment="1" applyProtection="1">
      <alignment horizontal="center" vertical="center"/>
      <protection hidden="1"/>
    </xf>
    <xf numFmtId="49" fontId="25" fillId="34" borderId="4" xfId="0" applyNumberFormat="1" applyFont="1" applyFill="1" applyBorder="1" applyAlignment="1" applyProtection="1">
      <alignment horizontal="justify" vertical="center"/>
      <protection hidden="1"/>
    </xf>
    <xf numFmtId="0" fontId="25" fillId="14" borderId="4" xfId="0" applyFont="1" applyFill="1" applyBorder="1" applyAlignment="1" applyProtection="1">
      <alignment horizontal="center" vertical="center" wrapText="1"/>
      <protection hidden="1"/>
    </xf>
    <xf numFmtId="0" fontId="25" fillId="0" borderId="0" xfId="0" applyFont="1" applyAlignment="1" applyProtection="1">
      <alignment horizontal="justify" vertical="center"/>
      <protection hidden="1"/>
    </xf>
    <xf numFmtId="9" fontId="22" fillId="0" borderId="54" xfId="2" applyFont="1" applyBorder="1" applyAlignment="1" applyProtection="1">
      <alignment horizontal="center" vertical="center"/>
      <protection hidden="1"/>
    </xf>
    <xf numFmtId="0" fontId="14" fillId="0" borderId="0" xfId="0" applyFont="1" applyAlignment="1" applyProtection="1">
      <alignment horizontal="justify" vertical="center"/>
      <protection hidden="1"/>
    </xf>
    <xf numFmtId="0" fontId="55" fillId="61" borderId="40" xfId="0" applyFont="1" applyFill="1" applyBorder="1" applyAlignment="1" applyProtection="1">
      <alignment horizontal="center" vertical="center" wrapText="1"/>
      <protection hidden="1"/>
    </xf>
    <xf numFmtId="0" fontId="37" fillId="0" borderId="19" xfId="0" applyFont="1" applyBorder="1" applyAlignment="1" applyProtection="1">
      <alignment horizontal="center" vertical="center" wrapText="1"/>
      <protection hidden="1"/>
    </xf>
    <xf numFmtId="0" fontId="40" fillId="0" borderId="19" xfId="0" applyFont="1" applyBorder="1" applyAlignment="1" applyProtection="1">
      <alignment horizontal="center" vertical="center" wrapText="1"/>
      <protection hidden="1"/>
    </xf>
    <xf numFmtId="0" fontId="114" fillId="0" borderId="19" xfId="0" applyFont="1" applyBorder="1" applyAlignment="1" applyProtection="1">
      <alignment horizontal="center" vertical="center" wrapText="1"/>
      <protection hidden="1"/>
    </xf>
    <xf numFmtId="0" fontId="14" fillId="20" borderId="4" xfId="0" applyFont="1" applyFill="1" applyBorder="1" applyAlignment="1" applyProtection="1">
      <alignment horizontal="center" vertical="center" wrapText="1"/>
      <protection locked="0"/>
    </xf>
    <xf numFmtId="0" fontId="130" fillId="9" borderId="4" xfId="5" applyFont="1" applyFill="1" applyBorder="1" applyAlignment="1" applyProtection="1">
      <alignment vertical="center" wrapText="1"/>
      <protection locked="0"/>
    </xf>
    <xf numFmtId="0" fontId="53" fillId="67" borderId="4" xfId="5" applyFont="1" applyFill="1" applyBorder="1" applyAlignment="1" applyProtection="1">
      <alignment horizontal="center" vertical="center" wrapText="1"/>
      <protection locked="0"/>
    </xf>
    <xf numFmtId="9" fontId="53" fillId="67" borderId="4" xfId="5" applyNumberFormat="1" applyFont="1" applyFill="1" applyBorder="1" applyAlignment="1" applyProtection="1">
      <alignment horizontal="center" vertical="center" wrapText="1"/>
      <protection locked="0"/>
    </xf>
    <xf numFmtId="10" fontId="9" fillId="67" borderId="4" xfId="5" applyNumberFormat="1" applyFont="1" applyFill="1" applyBorder="1" applyAlignment="1" applyProtection="1">
      <alignment horizontal="center" vertical="center" wrapText="1"/>
      <protection locked="0"/>
    </xf>
    <xf numFmtId="0" fontId="14" fillId="13" borderId="33" xfId="0" applyFont="1" applyFill="1" applyBorder="1" applyProtection="1">
      <protection hidden="1"/>
    </xf>
    <xf numFmtId="0" fontId="14" fillId="13" borderId="13" xfId="0" applyFont="1" applyFill="1" applyBorder="1" applyProtection="1">
      <protection hidden="1"/>
    </xf>
    <xf numFmtId="14" fontId="14" fillId="13" borderId="13" xfId="0" applyNumberFormat="1" applyFont="1" applyFill="1" applyBorder="1" applyProtection="1">
      <protection hidden="1"/>
    </xf>
    <xf numFmtId="0" fontId="30" fillId="18" borderId="57" xfId="0" applyFont="1" applyFill="1" applyBorder="1" applyAlignment="1" applyProtection="1">
      <alignment horizontal="center" vertical="center" wrapText="1"/>
      <protection hidden="1"/>
    </xf>
    <xf numFmtId="0" fontId="30" fillId="18" borderId="58" xfId="0" applyFont="1" applyFill="1" applyBorder="1" applyAlignment="1" applyProtection="1">
      <alignment horizontal="center" vertical="center" wrapText="1"/>
      <protection hidden="1"/>
    </xf>
    <xf numFmtId="10" fontId="14" fillId="0" borderId="14" xfId="2" applyNumberFormat="1" applyFont="1" applyFill="1" applyBorder="1" applyProtection="1">
      <protection hidden="1"/>
    </xf>
    <xf numFmtId="10" fontId="14" fillId="0" borderId="24" xfId="2" applyNumberFormat="1" applyFont="1" applyFill="1" applyBorder="1" applyProtection="1">
      <protection hidden="1"/>
    </xf>
    <xf numFmtId="10" fontId="14" fillId="0" borderId="57" xfId="0" applyNumberFormat="1" applyFont="1" applyBorder="1" applyProtection="1">
      <protection hidden="1"/>
    </xf>
    <xf numFmtId="170" fontId="14" fillId="0" borderId="61" xfId="2" applyNumberFormat="1" applyFont="1" applyFill="1" applyBorder="1" applyProtection="1">
      <protection hidden="1"/>
    </xf>
    <xf numFmtId="170" fontId="14" fillId="0" borderId="85" xfId="2" applyNumberFormat="1" applyFont="1" applyFill="1" applyBorder="1" applyProtection="1">
      <protection hidden="1"/>
    </xf>
    <xf numFmtId="170" fontId="14" fillId="0" borderId="58" xfId="2" applyNumberFormat="1" applyFont="1" applyFill="1" applyBorder="1" applyProtection="1">
      <protection hidden="1"/>
    </xf>
    <xf numFmtId="170" fontId="14" fillId="0" borderId="60" xfId="2" applyNumberFormat="1" applyFont="1" applyFill="1" applyBorder="1" applyProtection="1">
      <protection hidden="1"/>
    </xf>
    <xf numFmtId="170" fontId="14" fillId="0" borderId="4" xfId="2" applyNumberFormat="1" applyFont="1" applyFill="1" applyBorder="1" applyProtection="1">
      <protection hidden="1"/>
    </xf>
    <xf numFmtId="170" fontId="14" fillId="0" borderId="20" xfId="2" applyNumberFormat="1" applyFont="1" applyFill="1" applyBorder="1" applyProtection="1">
      <protection hidden="1"/>
    </xf>
    <xf numFmtId="170" fontId="14" fillId="0" borderId="83" xfId="2" applyNumberFormat="1" applyFont="1" applyFill="1" applyBorder="1" applyProtection="1">
      <protection hidden="1"/>
    </xf>
    <xf numFmtId="170" fontId="14" fillId="0" borderId="64" xfId="2" applyNumberFormat="1" applyFont="1" applyFill="1" applyBorder="1" applyProtection="1">
      <protection hidden="1"/>
    </xf>
    <xf numFmtId="170" fontId="14" fillId="0" borderId="67" xfId="2" applyNumberFormat="1" applyFont="1" applyFill="1" applyBorder="1" applyProtection="1">
      <protection hidden="1"/>
    </xf>
    <xf numFmtId="0" fontId="14" fillId="0" borderId="69" xfId="0" applyFont="1" applyBorder="1" applyProtection="1">
      <protection hidden="1"/>
    </xf>
    <xf numFmtId="165" fontId="14" fillId="0" borderId="57" xfId="1" applyFont="1" applyBorder="1" applyProtection="1">
      <protection hidden="1"/>
    </xf>
    <xf numFmtId="9" fontId="14" fillId="0" borderId="57" xfId="2" applyFont="1" applyFill="1" applyBorder="1" applyProtection="1">
      <protection hidden="1"/>
    </xf>
    <xf numFmtId="0" fontId="25" fillId="0" borderId="53" xfId="0" applyFont="1" applyBorder="1" applyAlignment="1" applyProtection="1">
      <alignment horizontal="center"/>
      <protection hidden="1"/>
    </xf>
    <xf numFmtId="44" fontId="14" fillId="0" borderId="53" xfId="17" applyFont="1" applyBorder="1" applyProtection="1">
      <protection hidden="1"/>
    </xf>
    <xf numFmtId="44" fontId="14" fillId="0" borderId="111" xfId="17" applyFont="1" applyBorder="1" applyAlignment="1" applyProtection="1">
      <alignment vertical="center"/>
      <protection hidden="1"/>
    </xf>
    <xf numFmtId="44" fontId="14" fillId="0" borderId="67" xfId="17" applyFont="1" applyBorder="1" applyAlignment="1" applyProtection="1">
      <alignment vertical="center"/>
      <protection hidden="1"/>
    </xf>
    <xf numFmtId="0" fontId="30" fillId="36" borderId="60" xfId="0" applyFont="1" applyFill="1" applyBorder="1" applyAlignment="1" applyProtection="1">
      <alignment horizontal="center" vertical="center" wrapText="1"/>
      <protection hidden="1"/>
    </xf>
    <xf numFmtId="0" fontId="31" fillId="36" borderId="70" xfId="0" applyFont="1" applyFill="1" applyBorder="1" applyAlignment="1" applyProtection="1">
      <alignment horizontal="center" vertical="center" wrapText="1"/>
      <protection hidden="1"/>
    </xf>
    <xf numFmtId="165" fontId="33" fillId="0" borderId="4" xfId="0" applyNumberFormat="1" applyFont="1" applyBorder="1" applyAlignment="1" applyProtection="1">
      <alignment vertical="center" wrapText="1"/>
      <protection hidden="1"/>
    </xf>
    <xf numFmtId="165" fontId="33" fillId="0" borderId="63" xfId="0" applyNumberFormat="1" applyFont="1" applyBorder="1" applyAlignment="1" applyProtection="1">
      <alignment vertical="center" wrapText="1"/>
      <protection hidden="1"/>
    </xf>
    <xf numFmtId="9" fontId="33" fillId="0" borderId="63" xfId="2" applyFont="1" applyBorder="1" applyAlignment="1" applyProtection="1">
      <alignment horizontal="center" vertical="center" wrapText="1"/>
      <protection hidden="1"/>
    </xf>
    <xf numFmtId="44" fontId="33" fillId="0" borderId="4" xfId="0" applyNumberFormat="1" applyFont="1" applyBorder="1" applyAlignment="1" applyProtection="1">
      <alignment vertical="center" wrapText="1"/>
      <protection hidden="1"/>
    </xf>
    <xf numFmtId="44" fontId="33" fillId="0" borderId="63" xfId="0" applyNumberFormat="1" applyFont="1" applyBorder="1" applyAlignment="1" applyProtection="1">
      <alignment vertical="center" wrapText="1"/>
      <protection hidden="1"/>
    </xf>
    <xf numFmtId="8" fontId="33" fillId="0" borderId="4" xfId="0" applyNumberFormat="1" applyFont="1" applyBorder="1" applyAlignment="1" applyProtection="1">
      <alignment vertical="center" wrapText="1"/>
      <protection hidden="1"/>
    </xf>
    <xf numFmtId="170" fontId="33" fillId="0" borderId="63" xfId="2" applyNumberFormat="1" applyFont="1" applyBorder="1" applyAlignment="1" applyProtection="1">
      <alignment horizontal="center" vertical="center" wrapText="1"/>
      <protection hidden="1"/>
    </xf>
    <xf numFmtId="44" fontId="40" fillId="0" borderId="20" xfId="0" applyNumberFormat="1" applyFont="1" applyBorder="1" applyAlignment="1" applyProtection="1">
      <alignment vertical="center" wrapText="1"/>
      <protection hidden="1"/>
    </xf>
    <xf numFmtId="165" fontId="33" fillId="0" borderId="64" xfId="0" applyNumberFormat="1" applyFont="1" applyBorder="1" applyAlignment="1" applyProtection="1">
      <alignment vertical="center" wrapText="1"/>
      <protection hidden="1"/>
    </xf>
    <xf numFmtId="9" fontId="33" fillId="0" borderId="64" xfId="2" applyFont="1" applyBorder="1" applyAlignment="1" applyProtection="1">
      <alignment horizontal="center" vertical="center" wrapText="1"/>
      <protection hidden="1"/>
    </xf>
    <xf numFmtId="165" fontId="33" fillId="0" borderId="71" xfId="0" applyNumberFormat="1" applyFont="1" applyBorder="1" applyAlignment="1" applyProtection="1">
      <alignment vertical="center" wrapText="1"/>
      <protection hidden="1"/>
    </xf>
    <xf numFmtId="165" fontId="33" fillId="0" borderId="54" xfId="0" applyNumberFormat="1" applyFont="1" applyBorder="1" applyAlignment="1" applyProtection="1">
      <alignment vertical="center" wrapText="1"/>
      <protection hidden="1"/>
    </xf>
    <xf numFmtId="9" fontId="33" fillId="0" borderId="54" xfId="2" applyFont="1" applyBorder="1" applyAlignment="1" applyProtection="1">
      <alignment horizontal="center" vertical="center" wrapText="1"/>
      <protection hidden="1"/>
    </xf>
    <xf numFmtId="0" fontId="25" fillId="13" borderId="0" xfId="0" applyFont="1" applyFill="1" applyAlignment="1" applyProtection="1">
      <alignment horizontal="left"/>
      <protection locked="0"/>
    </xf>
    <xf numFmtId="0" fontId="14" fillId="13" borderId="0" xfId="0" applyFont="1" applyFill="1" applyAlignment="1" applyProtection="1">
      <alignment horizontal="left"/>
      <protection locked="0"/>
    </xf>
    <xf numFmtId="0" fontId="49" fillId="0" borderId="0" xfId="5" applyFont="1" applyAlignment="1" applyProtection="1">
      <alignment horizontal="center" vertical="center"/>
      <protection hidden="1"/>
    </xf>
    <xf numFmtId="0" fontId="10" fillId="0" borderId="0" xfId="5" applyFont="1" applyAlignment="1" applyProtection="1">
      <alignment horizontal="center" vertical="center"/>
      <protection hidden="1"/>
    </xf>
    <xf numFmtId="9" fontId="49" fillId="0" borderId="0" xfId="7" applyFont="1" applyAlignment="1" applyProtection="1">
      <alignment horizontal="center" vertical="center"/>
      <protection hidden="1"/>
    </xf>
    <xf numFmtId="167" fontId="49" fillId="0" borderId="0" xfId="4" applyNumberFormat="1" applyFont="1" applyAlignment="1" applyProtection="1">
      <alignment horizontal="center" vertical="center"/>
      <protection hidden="1"/>
    </xf>
    <xf numFmtId="167" fontId="49" fillId="0" borderId="0" xfId="4" applyNumberFormat="1" applyFont="1" applyFill="1" applyAlignment="1" applyProtection="1">
      <alignment vertical="center"/>
      <protection hidden="1"/>
    </xf>
    <xf numFmtId="167" fontId="49" fillId="0" borderId="0" xfId="4" applyNumberFormat="1" applyFont="1" applyAlignment="1" applyProtection="1">
      <alignment vertical="center"/>
      <protection hidden="1"/>
    </xf>
    <xf numFmtId="0" fontId="27" fillId="0" borderId="0" xfId="5" applyFont="1" applyAlignment="1" applyProtection="1">
      <alignment horizontal="center" vertical="center" wrapText="1"/>
      <protection hidden="1"/>
    </xf>
    <xf numFmtId="10" fontId="27" fillId="0" borderId="0" xfId="5" applyNumberFormat="1" applyFont="1" applyAlignment="1" applyProtection="1">
      <alignment vertical="center" wrapText="1"/>
      <protection hidden="1"/>
    </xf>
    <xf numFmtId="0" fontId="0" fillId="20" borderId="0" xfId="0" applyFill="1"/>
    <xf numFmtId="0" fontId="14" fillId="20" borderId="0" xfId="0" applyFont="1" applyFill="1" applyAlignment="1">
      <alignment horizontal="center"/>
    </xf>
    <xf numFmtId="0" fontId="14" fillId="0" borderId="4" xfId="0" applyFont="1" applyBorder="1" applyAlignment="1" applyProtection="1">
      <alignment horizontal="center" vertical="center"/>
      <protection locked="0"/>
    </xf>
    <xf numFmtId="0" fontId="0" fillId="0" borderId="0" xfId="0" applyAlignment="1">
      <alignment horizontal="center"/>
    </xf>
    <xf numFmtId="0" fontId="25" fillId="20" borderId="0" xfId="0" applyFont="1" applyFill="1" applyAlignment="1">
      <alignment wrapText="1"/>
    </xf>
    <xf numFmtId="0" fontId="25" fillId="0" borderId="89" xfId="0" applyFont="1" applyBorder="1"/>
    <xf numFmtId="0" fontId="25" fillId="0" borderId="0" xfId="0" applyFont="1" applyAlignment="1" applyProtection="1">
      <alignment horizontal="center" vertical="center" wrapText="1"/>
      <protection locked="0"/>
    </xf>
    <xf numFmtId="0" fontId="71" fillId="36" borderId="4" xfId="0" applyFont="1" applyFill="1" applyBorder="1" applyAlignment="1" applyProtection="1">
      <alignment horizontal="center" vertical="center"/>
      <protection locked="0"/>
    </xf>
    <xf numFmtId="170" fontId="69" fillId="0" borderId="4" xfId="2" applyNumberFormat="1" applyFont="1" applyFill="1" applyBorder="1" applyAlignment="1">
      <alignment horizontal="center" vertical="center" wrapText="1"/>
    </xf>
    <xf numFmtId="9" fontId="14" fillId="0" borderId="0" xfId="2" applyFont="1" applyProtection="1">
      <protection locked="0"/>
    </xf>
    <xf numFmtId="9" fontId="51" fillId="43" borderId="4" xfId="2" applyFont="1" applyFill="1" applyBorder="1" applyAlignment="1" applyProtection="1">
      <alignment horizontal="center" vertical="center" wrapText="1"/>
      <protection locked="0"/>
    </xf>
    <xf numFmtId="9" fontId="69" fillId="0" borderId="4" xfId="2" applyFont="1" applyBorder="1" applyProtection="1">
      <protection locked="0"/>
    </xf>
    <xf numFmtId="9" fontId="35" fillId="0" borderId="0" xfId="2" applyFont="1" applyAlignment="1" applyProtection="1">
      <alignment vertical="center" wrapText="1"/>
      <protection locked="0"/>
    </xf>
    <xf numFmtId="9" fontId="47" fillId="0" borderId="0" xfId="2" applyFont="1" applyAlignment="1" applyProtection="1">
      <alignment vertical="center"/>
      <protection locked="0"/>
    </xf>
    <xf numFmtId="177" fontId="14" fillId="0" borderId="0" xfId="0" applyNumberFormat="1" applyFont="1" applyProtection="1">
      <protection locked="0"/>
    </xf>
    <xf numFmtId="167" fontId="14" fillId="0" borderId="0" xfId="0" applyNumberFormat="1" applyFont="1" applyProtection="1">
      <protection locked="0"/>
    </xf>
    <xf numFmtId="0" fontId="69" fillId="0" borderId="162" xfId="0" applyFont="1" applyBorder="1" applyAlignment="1" applyProtection="1">
      <alignment horizontal="left" vertical="center" wrapText="1"/>
      <protection locked="0"/>
    </xf>
    <xf numFmtId="0" fontId="69" fillId="0" borderId="14" xfId="0" applyFont="1" applyBorder="1" applyAlignment="1" applyProtection="1">
      <alignment horizontal="left" vertical="center" wrapText="1"/>
      <protection locked="0"/>
    </xf>
    <xf numFmtId="0" fontId="35" fillId="0" borderId="0" xfId="0" applyFont="1" applyAlignment="1" applyProtection="1">
      <alignment horizontal="center" vertical="center" wrapText="1"/>
      <protection locked="0"/>
    </xf>
    <xf numFmtId="0" fontId="47" fillId="0" borderId="0" xfId="0" applyFont="1" applyAlignment="1" applyProtection="1">
      <alignment horizontal="center" vertical="center"/>
      <protection locked="0"/>
    </xf>
    <xf numFmtId="0" fontId="69" fillId="0" borderId="0" xfId="0" applyFont="1" applyAlignment="1" applyProtection="1">
      <alignment horizontal="center"/>
      <protection hidden="1"/>
    </xf>
    <xf numFmtId="0" fontId="69" fillId="0" borderId="33" xfId="0" applyFont="1" applyBorder="1" applyAlignment="1" applyProtection="1">
      <alignment horizontal="center"/>
      <protection locked="0"/>
    </xf>
    <xf numFmtId="0" fontId="182" fillId="0" borderId="4" xfId="0" applyFont="1" applyBorder="1" applyAlignment="1" applyProtection="1">
      <alignment vertical="center" wrapText="1"/>
      <protection locked="0"/>
    </xf>
    <xf numFmtId="10" fontId="114" fillId="36" borderId="130" xfId="7" applyNumberFormat="1" applyFont="1" applyFill="1" applyBorder="1" applyAlignment="1" applyProtection="1">
      <alignment horizontal="center"/>
      <protection hidden="1"/>
    </xf>
    <xf numFmtId="3" fontId="118" fillId="13" borderId="0" xfId="16" applyNumberFormat="1" applyFont="1" applyFill="1" applyAlignment="1" applyProtection="1">
      <alignment horizontal="center" vertical="center" wrapText="1"/>
    </xf>
    <xf numFmtId="10" fontId="20" fillId="0" borderId="4" xfId="0" applyNumberFormat="1" applyFont="1" applyBorder="1" applyAlignment="1" applyProtection="1">
      <alignment horizontal="center" vertical="center" wrapText="1"/>
      <protection hidden="1"/>
    </xf>
    <xf numFmtId="10" fontId="114" fillId="36" borderId="24" xfId="7" applyNumberFormat="1" applyFont="1" applyFill="1" applyBorder="1" applyAlignment="1" applyProtection="1">
      <alignment horizontal="center" vertical="center"/>
      <protection hidden="1"/>
    </xf>
    <xf numFmtId="170" fontId="28" fillId="36" borderId="166" xfId="24" applyNumberFormat="1" applyFont="1" applyFill="1" applyBorder="1" applyAlignment="1" applyProtection="1">
      <alignment horizontal="center" vertical="center" wrapText="1"/>
      <protection hidden="1"/>
    </xf>
    <xf numFmtId="9" fontId="28" fillId="47" borderId="166" xfId="2" applyFont="1" applyFill="1" applyBorder="1" applyAlignment="1" applyProtection="1">
      <alignment horizontal="center" vertical="center"/>
      <protection locked="0"/>
    </xf>
    <xf numFmtId="10" fontId="28" fillId="15" borderId="138" xfId="7" applyNumberFormat="1" applyFont="1" applyFill="1" applyBorder="1" applyAlignment="1" applyProtection="1">
      <alignment horizontal="center" vertical="center"/>
      <protection hidden="1"/>
    </xf>
    <xf numFmtId="0" fontId="66" fillId="0" borderId="167" xfId="0" applyFont="1" applyBorder="1"/>
    <xf numFmtId="0" fontId="66" fillId="0" borderId="168" xfId="0" applyFont="1" applyBorder="1"/>
    <xf numFmtId="0" fontId="25" fillId="0" borderId="9" xfId="0" applyFont="1" applyBorder="1" applyAlignment="1" applyProtection="1">
      <alignment vertical="center" wrapText="1"/>
      <protection locked="0"/>
    </xf>
    <xf numFmtId="0" fontId="25" fillId="0" borderId="13" xfId="0" applyFont="1" applyBorder="1" applyAlignment="1" applyProtection="1">
      <alignment vertical="center" wrapText="1"/>
      <protection locked="0"/>
    </xf>
    <xf numFmtId="0" fontId="25" fillId="0" borderId="4" xfId="0" applyFont="1" applyBorder="1" applyAlignment="1" applyProtection="1">
      <alignment vertical="center" wrapText="1"/>
      <protection locked="0"/>
    </xf>
    <xf numFmtId="3" fontId="14" fillId="13" borderId="0" xfId="5" applyNumberFormat="1" applyFont="1" applyFill="1" applyAlignment="1" applyProtection="1">
      <alignment vertical="center" wrapText="1"/>
      <protection locked="0"/>
    </xf>
    <xf numFmtId="3" fontId="14" fillId="50" borderId="0" xfId="5" applyNumberFormat="1" applyFont="1" applyFill="1" applyAlignment="1" applyProtection="1">
      <alignment vertical="center" wrapText="1"/>
      <protection hidden="1"/>
    </xf>
    <xf numFmtId="165" fontId="28" fillId="50" borderId="0" xfId="1" applyFont="1" applyFill="1" applyAlignment="1">
      <alignment horizontal="center" vertical="center" wrapText="1"/>
    </xf>
    <xf numFmtId="165" fontId="14" fillId="13" borderId="0" xfId="1" applyFont="1" applyFill="1" applyAlignment="1" applyProtection="1">
      <alignment vertical="center" wrapText="1"/>
      <protection locked="0"/>
    </xf>
    <xf numFmtId="9" fontId="62" fillId="20" borderId="90" xfId="2" applyFont="1" applyFill="1" applyBorder="1"/>
    <xf numFmtId="0" fontId="35" fillId="25" borderId="4" xfId="0" applyFont="1" applyFill="1" applyBorder="1" applyAlignment="1" applyProtection="1">
      <alignment horizontal="center" vertical="center" wrapText="1"/>
      <protection hidden="1"/>
    </xf>
    <xf numFmtId="0" fontId="74" fillId="25" borderId="4" xfId="0" applyFont="1" applyFill="1" applyBorder="1" applyAlignment="1" applyProtection="1">
      <alignment horizontal="center" vertical="center" wrapText="1"/>
      <protection hidden="1"/>
    </xf>
    <xf numFmtId="0" fontId="74" fillId="48" borderId="4" xfId="0" applyFont="1" applyFill="1" applyBorder="1" applyAlignment="1" applyProtection="1">
      <alignment horizontal="center" vertical="center" wrapText="1"/>
      <protection hidden="1"/>
    </xf>
    <xf numFmtId="0" fontId="66" fillId="0" borderId="0" xfId="0" applyFont="1" applyProtection="1">
      <protection hidden="1"/>
    </xf>
    <xf numFmtId="0" fontId="59" fillId="20" borderId="4" xfId="0" applyFont="1" applyFill="1" applyBorder="1" applyAlignment="1" applyProtection="1">
      <alignment horizontal="center" vertical="center" wrapText="1"/>
      <protection hidden="1"/>
    </xf>
    <xf numFmtId="0" fontId="59" fillId="20" borderId="9" xfId="0" applyFont="1" applyFill="1" applyBorder="1" applyAlignment="1" applyProtection="1">
      <alignment horizontal="center" vertical="center" wrapText="1"/>
      <protection hidden="1"/>
    </xf>
    <xf numFmtId="165" fontId="66" fillId="0" borderId="4" xfId="1" applyFont="1" applyBorder="1" applyProtection="1">
      <protection hidden="1"/>
    </xf>
    <xf numFmtId="9" fontId="66" fillId="0" borderId="4" xfId="0" applyNumberFormat="1" applyFont="1" applyBorder="1" applyAlignment="1" applyProtection="1">
      <alignment horizontal="center"/>
      <protection hidden="1"/>
    </xf>
    <xf numFmtId="183" fontId="66" fillId="0" borderId="4" xfId="40" applyNumberFormat="1" applyFont="1" applyBorder="1" applyProtection="1">
      <protection hidden="1"/>
    </xf>
    <xf numFmtId="9" fontId="66" fillId="0" borderId="9" xfId="2" applyFont="1" applyBorder="1" applyAlignment="1" applyProtection="1">
      <alignment horizontal="center"/>
      <protection hidden="1"/>
    </xf>
    <xf numFmtId="9" fontId="66" fillId="0" borderId="4" xfId="2" applyFont="1" applyBorder="1" applyAlignment="1" applyProtection="1">
      <alignment horizontal="center"/>
      <protection hidden="1"/>
    </xf>
    <xf numFmtId="0" fontId="161" fillId="0" borderId="9" xfId="0" applyFont="1" applyBorder="1" applyProtection="1">
      <protection hidden="1"/>
    </xf>
    <xf numFmtId="9" fontId="161" fillId="0" borderId="4" xfId="0" applyNumberFormat="1" applyFont="1" applyBorder="1" applyAlignment="1" applyProtection="1">
      <alignment horizontal="center"/>
      <protection hidden="1"/>
    </xf>
    <xf numFmtId="0" fontId="161" fillId="0" borderId="4" xfId="0" applyFont="1" applyBorder="1" applyAlignment="1" applyProtection="1">
      <alignment horizontal="center"/>
      <protection hidden="1"/>
    </xf>
    <xf numFmtId="0" fontId="66" fillId="0" borderId="4" xfId="0" applyFont="1" applyBorder="1" applyAlignment="1" applyProtection="1">
      <alignment horizontal="center"/>
      <protection hidden="1"/>
    </xf>
    <xf numFmtId="9" fontId="66" fillId="0" borderId="0" xfId="0" applyNumberFormat="1" applyFont="1" applyAlignment="1" applyProtection="1">
      <alignment horizontal="center"/>
      <protection hidden="1"/>
    </xf>
    <xf numFmtId="3" fontId="10" fillId="69" borderId="20" xfId="5" applyNumberFormat="1" applyFont="1" applyFill="1" applyBorder="1" applyAlignment="1">
      <alignment vertical="center" wrapText="1"/>
    </xf>
    <xf numFmtId="3" fontId="10" fillId="69" borderId="4" xfId="5" applyNumberFormat="1" applyFont="1" applyFill="1" applyBorder="1" applyAlignment="1">
      <alignment vertical="center" wrapText="1"/>
    </xf>
    <xf numFmtId="3" fontId="20" fillId="69" borderId="4" xfId="5" applyNumberFormat="1" applyFont="1" applyFill="1" applyBorder="1" applyAlignment="1" applyProtection="1">
      <alignment vertical="center" wrapText="1"/>
      <protection locked="0"/>
    </xf>
    <xf numFmtId="3" fontId="10" fillId="0" borderId="4" xfId="5" applyNumberFormat="1" applyFont="1" applyBorder="1" applyAlignment="1" applyProtection="1">
      <alignment horizontal="right" vertical="center" wrapText="1"/>
      <protection hidden="1"/>
    </xf>
    <xf numFmtId="42" fontId="10" fillId="13" borderId="4" xfId="46" applyFont="1" applyFill="1" applyBorder="1" applyAlignment="1" applyProtection="1">
      <alignment horizontal="right" vertical="center" wrapText="1"/>
      <protection hidden="1"/>
    </xf>
    <xf numFmtId="42" fontId="0" fillId="69" borderId="4" xfId="46" applyFont="1" applyFill="1" applyBorder="1" applyAlignment="1" applyProtection="1">
      <alignment vertical="center"/>
      <protection locked="0"/>
    </xf>
    <xf numFmtId="9" fontId="35" fillId="15" borderId="125" xfId="0" applyNumberFormat="1" applyFont="1" applyFill="1" applyBorder="1" applyAlignment="1" applyProtection="1">
      <alignment horizontal="center" vertical="center" wrapText="1"/>
      <protection hidden="1"/>
    </xf>
    <xf numFmtId="9" fontId="35" fillId="0" borderId="4" xfId="0" applyNumberFormat="1" applyFont="1" applyBorder="1" applyAlignment="1" applyProtection="1">
      <alignment horizontal="center" vertical="center"/>
      <protection hidden="1"/>
    </xf>
    <xf numFmtId="0" fontId="66" fillId="0" borderId="4" xfId="0" applyFont="1" applyBorder="1" applyAlignment="1" applyProtection="1">
      <alignment vertical="center" wrapText="1"/>
      <protection hidden="1"/>
    </xf>
    <xf numFmtId="0" fontId="65" fillId="5" borderId="121" xfId="34" applyFont="1" applyFill="1" applyBorder="1" applyAlignment="1" applyProtection="1">
      <alignment horizontal="center" vertical="center" wrapText="1"/>
      <protection hidden="1"/>
    </xf>
    <xf numFmtId="0" fontId="7" fillId="0" borderId="0" xfId="20" applyFill="1" applyBorder="1" applyAlignment="1" applyProtection="1">
      <alignment horizontal="center" vertical="center"/>
      <protection hidden="1"/>
    </xf>
    <xf numFmtId="0" fontId="57" fillId="0" borderId="0" xfId="35" applyFont="1" applyFill="1" applyBorder="1" applyAlignment="1" applyProtection="1">
      <alignment horizontal="center" vertical="center"/>
      <protection hidden="1"/>
    </xf>
    <xf numFmtId="0" fontId="62" fillId="0" borderId="0" xfId="0" applyFont="1" applyProtection="1">
      <protection hidden="1"/>
    </xf>
    <xf numFmtId="0" fontId="164" fillId="18" borderId="143" xfId="0" applyFont="1" applyFill="1" applyBorder="1" applyAlignment="1" applyProtection="1">
      <alignment horizontal="left" vertical="center"/>
      <protection hidden="1"/>
    </xf>
    <xf numFmtId="0" fontId="164" fillId="18" borderId="0" xfId="0" applyFont="1" applyFill="1" applyAlignment="1" applyProtection="1">
      <alignment horizontal="left" vertical="center"/>
      <protection hidden="1"/>
    </xf>
    <xf numFmtId="0" fontId="164" fillId="0" borderId="144" xfId="0" applyFont="1" applyBorder="1" applyAlignment="1" applyProtection="1">
      <alignment horizontal="left" vertical="center"/>
      <protection hidden="1"/>
    </xf>
    <xf numFmtId="0" fontId="164" fillId="0" borderId="0" xfId="0" applyFont="1" applyAlignment="1" applyProtection="1">
      <alignment horizontal="left" vertical="center"/>
      <protection hidden="1"/>
    </xf>
    <xf numFmtId="0" fontId="164" fillId="18" borderId="144" xfId="0" applyFont="1" applyFill="1" applyBorder="1" applyAlignment="1" applyProtection="1">
      <alignment horizontal="left" vertical="center"/>
      <protection hidden="1"/>
    </xf>
    <xf numFmtId="42" fontId="35" fillId="0" borderId="4" xfId="46" applyFont="1" applyFill="1" applyBorder="1" applyAlignment="1" applyProtection="1">
      <alignment vertical="center"/>
      <protection hidden="1"/>
    </xf>
    <xf numFmtId="0" fontId="54" fillId="0" borderId="0" xfId="0" applyFont="1" applyAlignment="1" applyProtection="1">
      <alignment horizontal="center" vertical="center"/>
      <protection hidden="1"/>
    </xf>
    <xf numFmtId="0" fontId="54" fillId="0" borderId="0" xfId="0" applyFont="1" applyAlignment="1" applyProtection="1">
      <alignment vertical="center"/>
      <protection hidden="1"/>
    </xf>
    <xf numFmtId="10" fontId="35" fillId="36" borderId="4" xfId="0" applyNumberFormat="1" applyFont="1" applyFill="1" applyBorder="1" applyAlignment="1" applyProtection="1">
      <alignment horizontal="center" vertical="center"/>
      <protection hidden="1"/>
    </xf>
    <xf numFmtId="164" fontId="47" fillId="0" borderId="4" xfId="26" applyNumberFormat="1" applyFont="1" applyBorder="1" applyAlignment="1" applyProtection="1">
      <alignment vertical="center"/>
      <protection hidden="1"/>
    </xf>
    <xf numFmtId="3" fontId="14" fillId="0" borderId="4" xfId="15" applyNumberFormat="1" applyFont="1" applyFill="1" applyBorder="1" applyAlignment="1" applyProtection="1">
      <alignment horizontal="right" vertical="center" wrapText="1"/>
      <protection locked="0"/>
    </xf>
    <xf numFmtId="0" fontId="47" fillId="20" borderId="0" xfId="0" applyFont="1" applyFill="1" applyAlignment="1" applyProtection="1">
      <alignment vertical="center"/>
      <protection hidden="1"/>
    </xf>
    <xf numFmtId="0" fontId="76" fillId="20" borderId="4" xfId="0" applyFont="1" applyFill="1" applyBorder="1" applyAlignment="1" applyProtection="1">
      <alignment horizontal="center" vertical="center" wrapText="1"/>
      <protection hidden="1"/>
    </xf>
    <xf numFmtId="0" fontId="25"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22" xfId="0" applyFont="1" applyBorder="1" applyAlignment="1" applyProtection="1">
      <alignment vertical="center" wrapText="1"/>
      <protection locked="0"/>
    </xf>
    <xf numFmtId="170" fontId="69" fillId="0" borderId="4" xfId="2" applyNumberFormat="1" applyFont="1" applyFill="1" applyBorder="1" applyAlignment="1" applyProtection="1">
      <alignment horizontal="center" vertical="center" wrapText="1"/>
      <protection locked="0"/>
    </xf>
    <xf numFmtId="0" fontId="70" fillId="0" borderId="4" xfId="0" applyFont="1" applyBorder="1" applyAlignment="1" applyProtection="1">
      <alignment vertical="center" wrapText="1"/>
      <protection locked="0"/>
    </xf>
    <xf numFmtId="179" fontId="14" fillId="9" borderId="4" xfId="0" applyNumberFormat="1" applyFont="1" applyFill="1" applyBorder="1" applyAlignment="1" applyProtection="1">
      <alignment horizontal="center" vertical="center"/>
      <protection locked="0"/>
    </xf>
    <xf numFmtId="0" fontId="183" fillId="0" borderId="4" xfId="0" applyFont="1" applyBorder="1" applyAlignment="1" applyProtection="1">
      <alignment vertical="center" wrapText="1"/>
      <protection hidden="1"/>
    </xf>
    <xf numFmtId="0" fontId="184" fillId="36" borderId="4" xfId="5" applyFont="1" applyFill="1" applyBorder="1" applyAlignment="1">
      <alignment horizontal="center" vertical="center" wrapText="1"/>
    </xf>
    <xf numFmtId="9" fontId="114" fillId="25" borderId="4" xfId="7" applyFont="1" applyFill="1" applyBorder="1" applyAlignment="1" applyProtection="1">
      <alignment horizontal="center" vertical="center"/>
      <protection locked="0"/>
    </xf>
    <xf numFmtId="170" fontId="0" fillId="0" borderId="4" xfId="2" applyNumberFormat="1" applyFont="1" applyFill="1" applyBorder="1" applyAlignment="1" applyProtection="1">
      <alignment horizontal="center"/>
    </xf>
    <xf numFmtId="43" fontId="25" fillId="0" borderId="171" xfId="18" applyFont="1" applyBorder="1" applyAlignment="1" applyProtection="1">
      <alignment vertical="center"/>
      <protection locked="0"/>
    </xf>
    <xf numFmtId="0" fontId="25" fillId="0" borderId="171" xfId="0" applyFont="1" applyBorder="1" applyAlignment="1" applyProtection="1">
      <alignment horizontal="left" vertical="center" wrapText="1"/>
      <protection locked="0"/>
    </xf>
    <xf numFmtId="0" fontId="25" fillId="0" borderId="28" xfId="0" applyFont="1" applyBorder="1" applyAlignment="1" applyProtection="1">
      <alignment horizontal="left" vertical="center" wrapText="1"/>
      <protection locked="0"/>
    </xf>
    <xf numFmtId="43" fontId="14" fillId="0" borderId="172" xfId="18" applyFont="1" applyBorder="1" applyAlignment="1" applyProtection="1">
      <alignment vertical="center"/>
      <protection locked="0"/>
    </xf>
    <xf numFmtId="43" fontId="14" fillId="0" borderId="173" xfId="18" applyFont="1" applyBorder="1" applyAlignment="1" applyProtection="1">
      <alignment vertical="center"/>
      <protection locked="0"/>
    </xf>
    <xf numFmtId="14" fontId="20" fillId="0" borderId="0" xfId="5" applyNumberFormat="1" applyFont="1" applyAlignment="1" applyProtection="1">
      <alignment vertical="center"/>
      <protection locked="0"/>
    </xf>
    <xf numFmtId="0" fontId="69" fillId="0" borderId="4" xfId="0" applyFont="1" applyBorder="1" applyAlignment="1" applyProtection="1">
      <alignment horizontal="center" vertical="center" wrapText="1"/>
      <protection locked="0"/>
    </xf>
    <xf numFmtId="0" fontId="126" fillId="9" borderId="4" xfId="5" applyFont="1" applyFill="1" applyBorder="1" applyAlignment="1" applyProtection="1">
      <alignment vertical="center"/>
      <protection locked="0"/>
    </xf>
    <xf numFmtId="0" fontId="130" fillId="9" borderId="4" xfId="5" applyFont="1" applyFill="1" applyBorder="1" applyAlignment="1" applyProtection="1">
      <alignment horizontal="center" vertical="center" wrapText="1"/>
      <protection locked="0"/>
    </xf>
    <xf numFmtId="0" fontId="14" fillId="13" borderId="4" xfId="0" applyFont="1" applyFill="1" applyBorder="1" applyAlignment="1" applyProtection="1">
      <alignment horizontal="left" vertical="top" wrapText="1"/>
      <protection locked="0"/>
    </xf>
    <xf numFmtId="0" fontId="69" fillId="0" borderId="4" xfId="0" applyFont="1" applyBorder="1" applyAlignment="1" applyProtection="1">
      <alignment wrapText="1"/>
      <protection locked="0"/>
    </xf>
    <xf numFmtId="0" fontId="130" fillId="0" borderId="4" xfId="5" applyFont="1" applyBorder="1" applyAlignment="1" applyProtection="1">
      <alignment vertical="center" wrapText="1"/>
      <protection locked="0"/>
    </xf>
    <xf numFmtId="177" fontId="69" fillId="0" borderId="4" xfId="17" applyNumberFormat="1" applyFont="1" applyFill="1" applyBorder="1" applyProtection="1">
      <protection locked="0"/>
    </xf>
    <xf numFmtId="167" fontId="69" fillId="0" borderId="4" xfId="0" applyNumberFormat="1" applyFont="1" applyBorder="1" applyAlignment="1" applyProtection="1">
      <alignment horizontal="right" vertical="center"/>
      <protection locked="0"/>
    </xf>
    <xf numFmtId="9" fontId="69" fillId="0" borderId="4" xfId="2" applyFont="1" applyFill="1" applyBorder="1" applyAlignment="1" applyProtection="1">
      <alignment horizontal="center"/>
      <protection locked="0"/>
    </xf>
    <xf numFmtId="170" fontId="69" fillId="0" borderId="4" xfId="0" applyNumberFormat="1" applyFont="1" applyBorder="1" applyAlignment="1" applyProtection="1">
      <alignment horizontal="center"/>
      <protection locked="0"/>
    </xf>
    <xf numFmtId="177" fontId="69" fillId="0" borderId="4" xfId="17" applyNumberFormat="1" applyFont="1" applyFill="1" applyBorder="1" applyAlignment="1" applyProtection="1">
      <alignment horizontal="center"/>
      <protection locked="0"/>
    </xf>
    <xf numFmtId="9" fontId="69" fillId="0" borderId="4" xfId="0" applyNumberFormat="1" applyFont="1" applyBorder="1" applyAlignment="1" applyProtection="1">
      <alignment horizontal="center"/>
      <protection locked="0"/>
    </xf>
    <xf numFmtId="177" fontId="14" fillId="0" borderId="4" xfId="0" applyNumberFormat="1" applyFont="1" applyBorder="1" applyProtection="1">
      <protection locked="0"/>
    </xf>
    <xf numFmtId="9" fontId="14" fillId="0" borderId="4" xfId="2" applyFont="1" applyFill="1" applyBorder="1" applyProtection="1">
      <protection locked="0"/>
    </xf>
    <xf numFmtId="0" fontId="14" fillId="0" borderId="4" xfId="0" applyFont="1" applyBorder="1" applyAlignment="1" applyProtection="1">
      <alignment horizontal="center"/>
      <protection locked="0"/>
    </xf>
    <xf numFmtId="167" fontId="69" fillId="0" borderId="4" xfId="0" applyNumberFormat="1" applyFont="1" applyBorder="1" applyAlignment="1">
      <alignment horizontal="right" vertical="center"/>
    </xf>
    <xf numFmtId="0" fontId="1" fillId="0" borderId="4" xfId="0" applyFont="1" applyBorder="1" applyAlignment="1" applyProtection="1">
      <alignment horizontal="center" vertical="center" wrapText="1"/>
      <protection locked="0"/>
    </xf>
    <xf numFmtId="9" fontId="69" fillId="0" borderId="4" xfId="2" applyFont="1" applyBorder="1" applyAlignment="1" applyProtection="1">
      <alignment wrapText="1"/>
      <protection locked="0"/>
    </xf>
    <xf numFmtId="10" fontId="69" fillId="0" borderId="4" xfId="2" applyNumberFormat="1" applyFont="1" applyFill="1" applyBorder="1" applyAlignment="1" applyProtection="1">
      <alignment horizontal="right" vertical="center" wrapText="1"/>
      <protection locked="0"/>
    </xf>
    <xf numFmtId="10" fontId="69" fillId="0" borderId="4" xfId="2" applyNumberFormat="1" applyFont="1" applyFill="1" applyBorder="1" applyAlignment="1" applyProtection="1">
      <alignment wrapText="1"/>
      <protection locked="0"/>
    </xf>
    <xf numFmtId="0" fontId="69" fillId="0" borderId="4" xfId="0" applyFont="1" applyBorder="1" applyAlignment="1" applyProtection="1">
      <alignment horizontal="center" wrapText="1"/>
      <protection locked="0"/>
    </xf>
    <xf numFmtId="0" fontId="69" fillId="0" borderId="0" xfId="0" applyFont="1" applyAlignment="1" applyProtection="1">
      <alignment wrapText="1"/>
      <protection locked="0"/>
    </xf>
    <xf numFmtId="170" fontId="69" fillId="0" borderId="4" xfId="2" applyNumberFormat="1" applyFont="1" applyFill="1" applyBorder="1" applyAlignment="1">
      <alignment horizontal="center" vertical="center"/>
    </xf>
    <xf numFmtId="10" fontId="69" fillId="0" borderId="4" xfId="2" applyNumberFormat="1" applyFont="1" applyFill="1" applyBorder="1" applyAlignment="1" applyProtection="1">
      <protection locked="0"/>
    </xf>
    <xf numFmtId="0" fontId="50" fillId="0" borderId="4" xfId="0" applyFont="1" applyBorder="1" applyAlignment="1">
      <alignment horizontal="center"/>
    </xf>
    <xf numFmtId="0" fontId="69" fillId="0" borderId="4" xfId="0" applyFont="1" applyBorder="1" applyAlignment="1" applyProtection="1">
      <alignment vertical="center"/>
      <protection locked="0"/>
    </xf>
    <xf numFmtId="9" fontId="69" fillId="0" borderId="4" xfId="2" applyFont="1" applyFill="1" applyBorder="1" applyAlignment="1" applyProtection="1">
      <protection locked="0"/>
    </xf>
    <xf numFmtId="0" fontId="69" fillId="0" borderId="4" xfId="0" applyFont="1" applyBorder="1" applyAlignment="1" applyProtection="1">
      <alignment horizontal="center" vertical="center"/>
      <protection locked="0"/>
    </xf>
    <xf numFmtId="0" fontId="50" fillId="0" borderId="4" xfId="0" applyFont="1" applyBorder="1" applyAlignment="1" applyProtection="1">
      <alignment horizontal="center" wrapText="1"/>
      <protection locked="0"/>
    </xf>
    <xf numFmtId="0" fontId="35" fillId="0" borderId="16" xfId="0" applyFont="1" applyBorder="1" applyAlignment="1" applyProtection="1">
      <alignment horizontal="left" vertical="center" wrapText="1"/>
      <protection locked="0"/>
    </xf>
    <xf numFmtId="0" fontId="35" fillId="0" borderId="4" xfId="0" applyFont="1" applyBorder="1" applyAlignment="1" applyProtection="1">
      <alignment vertical="center" wrapText="1"/>
      <protection locked="0"/>
    </xf>
    <xf numFmtId="43" fontId="25" fillId="0" borderId="4" xfId="18" applyFont="1" applyBorder="1" applyAlignment="1" applyProtection="1">
      <alignment vertical="center" wrapText="1"/>
      <protection locked="0"/>
    </xf>
    <xf numFmtId="10" fontId="25" fillId="0" borderId="4" xfId="2" applyNumberFormat="1" applyFont="1" applyBorder="1" applyAlignment="1" applyProtection="1">
      <alignment vertical="center" wrapText="1"/>
      <protection locked="0"/>
    </xf>
    <xf numFmtId="43" fontId="25" fillId="13" borderId="4" xfId="0" applyNumberFormat="1" applyFont="1" applyFill="1" applyBorder="1" applyAlignment="1" applyProtection="1">
      <alignment vertical="center" wrapText="1"/>
      <protection locked="0"/>
    </xf>
    <xf numFmtId="0" fontId="25" fillId="0" borderId="4" xfId="0" applyFont="1" applyBorder="1" applyAlignment="1" applyProtection="1">
      <alignment horizontal="center" vertical="center" wrapText="1"/>
      <protection locked="0"/>
    </xf>
    <xf numFmtId="0" fontId="25" fillId="0" borderId="0" xfId="0" applyFont="1" applyAlignment="1" applyProtection="1">
      <alignment vertical="center" wrapText="1"/>
      <protection locked="0"/>
    </xf>
    <xf numFmtId="0" fontId="47" fillId="0" borderId="16" xfId="0" applyFont="1" applyBorder="1" applyAlignment="1" applyProtection="1">
      <alignment horizontal="left" vertical="center" wrapText="1"/>
      <protection locked="0"/>
    </xf>
    <xf numFmtId="0" fontId="47" fillId="0" borderId="4" xfId="0" applyFont="1" applyBorder="1" applyAlignment="1" applyProtection="1">
      <alignment vertical="center" wrapText="1"/>
      <protection locked="0"/>
    </xf>
    <xf numFmtId="43" fontId="14" fillId="0" borderId="4" xfId="18" applyFont="1" applyBorder="1" applyAlignment="1" applyProtection="1">
      <alignment vertical="center" wrapText="1"/>
      <protection locked="0"/>
    </xf>
    <xf numFmtId="10" fontId="14" fillId="0" borderId="4" xfId="2" applyNumberFormat="1" applyFont="1" applyBorder="1" applyAlignment="1" applyProtection="1">
      <alignment vertical="center" wrapText="1"/>
      <protection locked="0"/>
    </xf>
    <xf numFmtId="43" fontId="14" fillId="13" borderId="4" xfId="0" applyNumberFormat="1" applyFont="1" applyFill="1" applyBorder="1" applyAlignment="1" applyProtection="1">
      <alignment vertical="center" wrapText="1"/>
      <protection locked="0"/>
    </xf>
    <xf numFmtId="0" fontId="14" fillId="0" borderId="0" xfId="0" applyFont="1" applyAlignment="1" applyProtection="1">
      <alignment vertical="center" wrapText="1"/>
      <protection locked="0"/>
    </xf>
    <xf numFmtId="0" fontId="35" fillId="0" borderId="29" xfId="0" applyFont="1" applyBorder="1" applyAlignment="1" applyProtection="1">
      <alignment horizontal="left" vertical="center" wrapText="1"/>
      <protection locked="0"/>
    </xf>
    <xf numFmtId="0" fontId="35" fillId="0" borderId="171" xfId="0" applyFont="1" applyBorder="1" applyAlignment="1" applyProtection="1">
      <alignment vertical="center" wrapText="1"/>
      <protection locked="0"/>
    </xf>
    <xf numFmtId="43" fontId="25" fillId="0" borderId="171" xfId="18" applyFont="1" applyBorder="1" applyAlignment="1" applyProtection="1">
      <alignment vertical="center" wrapText="1"/>
      <protection locked="0"/>
    </xf>
    <xf numFmtId="10" fontId="25" fillId="0" borderId="171" xfId="2" applyNumberFormat="1" applyFont="1" applyBorder="1" applyAlignment="1" applyProtection="1">
      <alignment vertical="center" wrapText="1"/>
      <protection locked="0"/>
    </xf>
    <xf numFmtId="43" fontId="25" fillId="13" borderId="171" xfId="0" applyNumberFormat="1" applyFont="1" applyFill="1" applyBorder="1" applyAlignment="1" applyProtection="1">
      <alignment vertical="center" wrapText="1"/>
      <protection locked="0"/>
    </xf>
    <xf numFmtId="0" fontId="25" fillId="0" borderId="171" xfId="0" applyFont="1" applyBorder="1" applyAlignment="1" applyProtection="1">
      <alignment horizontal="center" vertical="center" wrapText="1"/>
      <protection locked="0"/>
    </xf>
    <xf numFmtId="0" fontId="14" fillId="0" borderId="25" xfId="0" applyFont="1" applyBorder="1" applyAlignment="1" applyProtection="1">
      <alignment vertical="center" wrapText="1"/>
      <protection locked="0"/>
    </xf>
    <xf numFmtId="43" fontId="14" fillId="0" borderId="22" xfId="18" applyFont="1" applyBorder="1" applyAlignment="1" applyProtection="1">
      <alignment vertical="center" wrapText="1"/>
      <protection locked="0"/>
    </xf>
    <xf numFmtId="10" fontId="14" fillId="0" borderId="22" xfId="2" applyNumberFormat="1" applyFont="1" applyBorder="1" applyAlignment="1" applyProtection="1">
      <alignment vertical="center" wrapText="1"/>
      <protection locked="0"/>
    </xf>
    <xf numFmtId="43" fontId="14" fillId="13" borderId="22" xfId="0" applyNumberFormat="1" applyFont="1" applyFill="1" applyBorder="1" applyAlignment="1" applyProtection="1">
      <alignment vertical="center" wrapText="1"/>
      <protection locked="0"/>
    </xf>
    <xf numFmtId="0" fontId="14" fillId="0" borderId="22" xfId="0" applyFont="1" applyBorder="1" applyAlignment="1" applyProtection="1">
      <alignment horizontal="center" vertical="center" wrapText="1"/>
      <protection locked="0"/>
    </xf>
    <xf numFmtId="0" fontId="28" fillId="36" borderId="4" xfId="5" applyFont="1" applyFill="1" applyBorder="1" applyAlignment="1" applyProtection="1">
      <alignment horizontal="center" vertical="center" wrapText="1"/>
      <protection hidden="1"/>
    </xf>
    <xf numFmtId="9" fontId="114" fillId="65" borderId="4" xfId="7" applyFont="1" applyFill="1" applyBorder="1" applyAlignment="1" applyProtection="1">
      <alignment horizontal="center" vertical="center"/>
      <protection hidden="1"/>
    </xf>
    <xf numFmtId="170" fontId="108" fillId="34" borderId="4" xfId="7" applyNumberFormat="1" applyFont="1" applyFill="1" applyBorder="1" applyAlignment="1" applyProtection="1">
      <alignment horizontal="center" vertical="center"/>
      <protection hidden="1"/>
    </xf>
    <xf numFmtId="9" fontId="108" fillId="66" borderId="4" xfId="7" applyFont="1" applyFill="1" applyBorder="1" applyAlignment="1" applyProtection="1">
      <alignment horizontal="center" vertical="center"/>
      <protection hidden="1"/>
    </xf>
    <xf numFmtId="170" fontId="108" fillId="66" borderId="4" xfId="9" applyNumberFormat="1" applyFont="1" applyFill="1" applyBorder="1" applyAlignment="1" applyProtection="1">
      <alignment horizontal="center" vertical="center"/>
      <protection hidden="1"/>
    </xf>
    <xf numFmtId="0" fontId="0" fillId="61" borderId="165" xfId="0" applyFill="1" applyBorder="1" applyAlignment="1">
      <alignment horizontal="center" vertical="center"/>
    </xf>
    <xf numFmtId="0" fontId="0" fillId="61" borderId="163" xfId="0" applyFill="1" applyBorder="1" applyAlignment="1">
      <alignment horizontal="center" vertical="center"/>
    </xf>
    <xf numFmtId="0" fontId="0" fillId="61" borderId="164" xfId="0" applyFill="1" applyBorder="1" applyAlignment="1">
      <alignment horizontal="center" vertical="center"/>
    </xf>
    <xf numFmtId="9" fontId="62" fillId="61" borderId="21" xfId="2" applyFont="1" applyFill="1" applyBorder="1" applyAlignment="1">
      <alignment horizontal="center" vertical="center"/>
    </xf>
    <xf numFmtId="10" fontId="62" fillId="61" borderId="4" xfId="2" applyNumberFormat="1" applyFont="1" applyFill="1" applyBorder="1" applyAlignment="1">
      <alignment horizontal="center" vertical="center"/>
    </xf>
    <xf numFmtId="9" fontId="180" fillId="21" borderId="21" xfId="2" applyFont="1" applyFill="1" applyBorder="1" applyAlignment="1">
      <alignment horizontal="center" vertical="center" wrapText="1"/>
    </xf>
    <xf numFmtId="9" fontId="62" fillId="20" borderId="21" xfId="2" applyFont="1" applyFill="1" applyBorder="1" applyAlignment="1">
      <alignment horizontal="center" vertical="center"/>
    </xf>
    <xf numFmtId="9" fontId="62" fillId="62" borderId="159" xfId="2" applyFont="1" applyFill="1" applyBorder="1" applyAlignment="1">
      <alignment horizontal="center" vertical="center"/>
    </xf>
    <xf numFmtId="2" fontId="62" fillId="62" borderId="158" xfId="0" applyNumberFormat="1" applyFont="1" applyFill="1" applyBorder="1" applyAlignment="1">
      <alignment horizontal="center" vertical="center"/>
    </xf>
    <xf numFmtId="0" fontId="0" fillId="0" borderId="0" xfId="0" applyAlignment="1" applyProtection="1">
      <alignment wrapText="1"/>
      <protection locked="0"/>
    </xf>
    <xf numFmtId="0" fontId="35" fillId="13" borderId="46" xfId="33" applyFont="1" applyFill="1" applyBorder="1" applyAlignment="1">
      <alignment horizontal="center" vertical="center" wrapText="1"/>
    </xf>
    <xf numFmtId="0" fontId="10" fillId="36" borderId="174" xfId="5" applyFont="1" applyFill="1" applyBorder="1" applyAlignment="1">
      <alignment horizontal="center" vertical="center" wrapText="1"/>
    </xf>
    <xf numFmtId="0" fontId="10" fillId="36" borderId="175" xfId="5" applyFont="1" applyFill="1" applyBorder="1" applyAlignment="1">
      <alignment horizontal="center" vertical="center" wrapText="1"/>
    </xf>
    <xf numFmtId="0" fontId="130" fillId="9" borderId="176" xfId="5" applyFont="1" applyFill="1" applyBorder="1" applyAlignment="1" applyProtection="1">
      <alignment vertical="center" wrapText="1"/>
      <protection locked="0"/>
    </xf>
    <xf numFmtId="0" fontId="130" fillId="9" borderId="176" xfId="5" applyFont="1" applyFill="1" applyBorder="1" applyAlignment="1" applyProtection="1">
      <alignment vertical="center"/>
      <protection locked="0"/>
    </xf>
    <xf numFmtId="0" fontId="53" fillId="67" borderId="176" xfId="5" applyFont="1" applyFill="1" applyBorder="1" applyAlignment="1" applyProtection="1">
      <alignment horizontal="center" vertical="center" wrapText="1"/>
      <protection locked="0"/>
    </xf>
    <xf numFmtId="9" fontId="53" fillId="67" borderId="176" xfId="5" applyNumberFormat="1" applyFont="1" applyFill="1" applyBorder="1" applyAlignment="1" applyProtection="1">
      <alignment horizontal="center" vertical="center" wrapText="1"/>
      <protection locked="0"/>
    </xf>
    <xf numFmtId="10" fontId="9" fillId="67" borderId="176" xfId="5" applyNumberFormat="1" applyFont="1" applyFill="1" applyBorder="1" applyAlignment="1" applyProtection="1">
      <alignment horizontal="center" vertical="center" wrapText="1"/>
      <protection locked="0"/>
    </xf>
    <xf numFmtId="0" fontId="5" fillId="20" borderId="176" xfId="5" applyFont="1" applyFill="1" applyBorder="1" applyAlignment="1" applyProtection="1">
      <alignment horizontal="center" vertical="center"/>
      <protection locked="0"/>
    </xf>
    <xf numFmtId="0" fontId="130" fillId="9" borderId="177" xfId="5" applyFont="1" applyFill="1" applyBorder="1" applyAlignment="1" applyProtection="1">
      <alignment vertical="center" wrapText="1"/>
      <protection locked="0"/>
    </xf>
    <xf numFmtId="0" fontId="126" fillId="9" borderId="177" xfId="5" applyFont="1" applyFill="1" applyBorder="1" applyAlignment="1" applyProtection="1">
      <alignment vertical="center"/>
      <protection locked="0"/>
    </xf>
    <xf numFmtId="0" fontId="53" fillId="67" borderId="177" xfId="5" applyFont="1" applyFill="1" applyBorder="1" applyAlignment="1" applyProtection="1">
      <alignment horizontal="center" vertical="center" wrapText="1"/>
      <protection locked="0"/>
    </xf>
    <xf numFmtId="9" fontId="53" fillId="67" borderId="177" xfId="5" applyNumberFormat="1" applyFont="1" applyFill="1" applyBorder="1" applyAlignment="1" applyProtection="1">
      <alignment horizontal="center" vertical="center" wrapText="1"/>
      <protection locked="0"/>
    </xf>
    <xf numFmtId="10" fontId="9" fillId="67" borderId="177" xfId="5" applyNumberFormat="1" applyFont="1" applyFill="1" applyBorder="1" applyAlignment="1" applyProtection="1">
      <alignment horizontal="center" vertical="center" wrapText="1"/>
      <protection locked="0"/>
    </xf>
    <xf numFmtId="0" fontId="5" fillId="20" borderId="177" xfId="5" applyFont="1" applyFill="1" applyBorder="1" applyAlignment="1" applyProtection="1">
      <alignment horizontal="center" vertical="center"/>
      <protection locked="0"/>
    </xf>
    <xf numFmtId="0" fontId="126" fillId="9" borderId="176" xfId="5" applyFont="1" applyFill="1" applyBorder="1" applyAlignment="1" applyProtection="1">
      <alignment vertical="center"/>
      <protection locked="0"/>
    </xf>
    <xf numFmtId="0" fontId="5" fillId="20" borderId="178" xfId="5" applyFont="1" applyFill="1" applyBorder="1" applyAlignment="1" applyProtection="1">
      <alignment horizontal="center" vertical="center"/>
      <protection locked="0"/>
    </xf>
    <xf numFmtId="0" fontId="5" fillId="20" borderId="179" xfId="5" applyFont="1" applyFill="1" applyBorder="1" applyAlignment="1" applyProtection="1">
      <alignment horizontal="center" vertical="center"/>
      <protection locked="0"/>
    </xf>
    <xf numFmtId="0" fontId="5" fillId="20" borderId="180" xfId="5" applyFont="1" applyFill="1" applyBorder="1" applyAlignment="1" applyProtection="1">
      <alignment horizontal="center" vertical="center"/>
      <protection locked="0"/>
    </xf>
    <xf numFmtId="0" fontId="10" fillId="36" borderId="181" xfId="5" applyFont="1" applyFill="1" applyBorder="1" applyAlignment="1">
      <alignment horizontal="center" vertical="center" wrapText="1"/>
    </xf>
    <xf numFmtId="0" fontId="74" fillId="36" borderId="174" xfId="5" applyFont="1" applyFill="1" applyBorder="1" applyAlignment="1">
      <alignment horizontal="center" vertical="center" wrapText="1"/>
    </xf>
    <xf numFmtId="0" fontId="185" fillId="52" borderId="4" xfId="9" applyFont="1" applyFill="1" applyBorder="1" applyAlignment="1" applyProtection="1">
      <alignment horizontal="center" vertical="center" wrapText="1"/>
      <protection hidden="1"/>
    </xf>
    <xf numFmtId="10" fontId="69" fillId="0" borderId="4" xfId="2" applyNumberFormat="1"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3" fontId="14" fillId="0" borderId="4" xfId="0" applyNumberFormat="1" applyFont="1" applyBorder="1" applyAlignment="1" applyProtection="1">
      <alignment horizontal="right" vertical="center" wrapText="1"/>
      <protection locked="0"/>
    </xf>
    <xf numFmtId="181" fontId="25" fillId="0" borderId="4" xfId="27" applyNumberFormat="1" applyFont="1" applyFill="1" applyBorder="1" applyAlignment="1" applyProtection="1">
      <alignment horizontal="center" vertical="center" wrapText="1"/>
    </xf>
    <xf numFmtId="0" fontId="14" fillId="0" borderId="0" xfId="0" applyFont="1" applyAlignment="1" applyProtection="1">
      <alignment wrapText="1"/>
      <protection locked="0"/>
    </xf>
    <xf numFmtId="0" fontId="4" fillId="0" borderId="9" xfId="0" applyFont="1" applyBorder="1" applyAlignment="1" applyProtection="1">
      <alignment horizontal="center" vertical="center" wrapText="1"/>
      <protection locked="0"/>
    </xf>
    <xf numFmtId="0" fontId="4" fillId="0" borderId="4"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21" xfId="0" applyFont="1" applyBorder="1" applyAlignment="1" applyProtection="1">
      <alignment horizontal="center" vertical="center" wrapText="1"/>
      <protection locked="0"/>
    </xf>
    <xf numFmtId="0" fontId="47" fillId="0" borderId="21" xfId="0" applyFont="1" applyBorder="1" applyAlignment="1" applyProtection="1">
      <alignment horizontal="left" vertical="center" wrapText="1"/>
      <protection locked="0"/>
    </xf>
    <xf numFmtId="0" fontId="9" fillId="0" borderId="21" xfId="0" applyFont="1" applyBorder="1" applyAlignment="1" applyProtection="1">
      <alignment horizontal="justify" vertical="center"/>
      <protection locked="0"/>
    </xf>
    <xf numFmtId="0" fontId="9" fillId="0" borderId="21" xfId="28" applyBorder="1" applyAlignment="1" applyProtection="1">
      <alignment horizontal="justify" vertical="center" wrapText="1"/>
      <protection locked="0"/>
    </xf>
    <xf numFmtId="0" fontId="54" fillId="0" borderId="21" xfId="28" applyFont="1" applyBorder="1" applyAlignment="1" applyProtection="1">
      <alignment horizontal="justify" vertical="center" wrapText="1"/>
      <protection locked="0"/>
    </xf>
    <xf numFmtId="0" fontId="4" fillId="0" borderId="46" xfId="0" applyFont="1" applyBorder="1" applyAlignment="1" applyProtection="1">
      <alignment horizontal="center" vertical="center" wrapText="1"/>
      <protection locked="0"/>
    </xf>
    <xf numFmtId="3" fontId="121" fillId="0" borderId="21" xfId="29" applyNumberFormat="1" applyFont="1" applyBorder="1" applyAlignment="1" applyProtection="1">
      <alignment horizontal="center" vertical="center" wrapText="1"/>
      <protection locked="0"/>
    </xf>
    <xf numFmtId="0" fontId="121" fillId="0" borderId="21" xfId="30" applyFont="1" applyBorder="1" applyAlignment="1" applyProtection="1">
      <alignment horizontal="center" vertical="center" wrapText="1"/>
      <protection locked="0"/>
    </xf>
    <xf numFmtId="49" fontId="121" fillId="0" borderId="21" xfId="30" applyNumberFormat="1" applyFont="1" applyBorder="1" applyAlignment="1" applyProtection="1">
      <alignment horizontal="center" vertical="center" wrapText="1"/>
      <protection locked="0"/>
    </xf>
    <xf numFmtId="49" fontId="121" fillId="0" borderId="96" xfId="30" applyNumberFormat="1" applyFont="1" applyBorder="1" applyAlignment="1" applyProtection="1">
      <alignment horizontal="center" vertical="center" wrapText="1"/>
      <protection locked="0"/>
    </xf>
    <xf numFmtId="3" fontId="14" fillId="0" borderId="20" xfId="0" applyNumberFormat="1" applyFont="1" applyBorder="1" applyAlignment="1" applyProtection="1">
      <alignment horizontal="right" vertical="center" wrapText="1"/>
      <protection locked="0"/>
    </xf>
    <xf numFmtId="9" fontId="4" fillId="0" borderId="21" xfId="31" applyFont="1" applyFill="1" applyBorder="1" applyAlignment="1" applyProtection="1">
      <alignment horizontal="right" vertical="center" wrapText="1"/>
      <protection locked="0"/>
    </xf>
    <xf numFmtId="0" fontId="47" fillId="0" borderId="21" xfId="0" applyFont="1" applyBorder="1" applyAlignment="1" applyProtection="1">
      <alignment horizontal="justify" vertical="top" wrapText="1"/>
      <protection locked="0"/>
    </xf>
    <xf numFmtId="0" fontId="53" fillId="0" borderId="21" xfId="28" applyFont="1" applyBorder="1" applyAlignment="1" applyProtection="1">
      <alignment horizontal="justify" vertical="top" wrapText="1"/>
      <protection locked="0"/>
    </xf>
    <xf numFmtId="0" fontId="9" fillId="0" borderId="21" xfId="0" applyFont="1" applyBorder="1" applyAlignment="1" applyProtection="1">
      <alignment horizontal="justify" vertical="top"/>
      <protection locked="0"/>
    </xf>
    <xf numFmtId="0" fontId="53" fillId="0" borderId="21" xfId="28" applyFont="1" applyBorder="1" applyAlignment="1" applyProtection="1">
      <alignment horizontal="justify" vertical="center" wrapText="1"/>
      <protection locked="0"/>
    </xf>
    <xf numFmtId="0" fontId="4" fillId="0" borderId="20" xfId="0" applyFont="1" applyBorder="1" applyAlignment="1" applyProtection="1">
      <alignment vertical="center" wrapText="1"/>
      <protection locked="0"/>
    </xf>
    <xf numFmtId="0" fontId="4" fillId="0" borderId="94" xfId="0" applyFont="1" applyBorder="1" applyAlignment="1" applyProtection="1">
      <alignment vertical="center" wrapText="1"/>
      <protection locked="0"/>
    </xf>
    <xf numFmtId="3" fontId="14" fillId="0" borderId="158" xfId="0" applyNumberFormat="1" applyFont="1" applyBorder="1" applyAlignment="1" applyProtection="1">
      <alignment horizontal="right" vertical="center" wrapText="1"/>
      <protection locked="0"/>
    </xf>
    <xf numFmtId="0" fontId="14" fillId="0" borderId="190" xfId="0" applyFont="1" applyBorder="1" applyAlignment="1" applyProtection="1">
      <alignment horizontal="center"/>
      <protection locked="0"/>
    </xf>
    <xf numFmtId="44" fontId="14" fillId="0" borderId="24" xfId="17" applyFont="1" applyBorder="1" applyProtection="1">
      <protection locked="0"/>
    </xf>
    <xf numFmtId="165" fontId="14" fillId="0" borderId="85" xfId="1" applyFont="1" applyBorder="1" applyProtection="1">
      <protection locked="0"/>
    </xf>
    <xf numFmtId="177" fontId="35" fillId="20" borderId="4" xfId="17" applyNumberFormat="1" applyFont="1" applyFill="1" applyBorder="1" applyAlignment="1" applyProtection="1">
      <alignment vertical="center"/>
      <protection locked="0"/>
    </xf>
    <xf numFmtId="0" fontId="59" fillId="46" borderId="4" xfId="0" applyFont="1" applyFill="1" applyBorder="1" applyAlignment="1" applyProtection="1">
      <alignment horizontal="center" vertical="center"/>
      <protection hidden="1"/>
    </xf>
    <xf numFmtId="0" fontId="186" fillId="0" borderId="0" xfId="0" applyFont="1" applyAlignment="1" applyProtection="1">
      <alignment horizontal="center" vertical="center"/>
      <protection hidden="1"/>
    </xf>
    <xf numFmtId="0" fontId="63" fillId="0" borderId="0" xfId="0" applyFont="1" applyAlignment="1">
      <alignment vertical="center"/>
    </xf>
    <xf numFmtId="10" fontId="0" fillId="12" borderId="4" xfId="0" applyNumberFormat="1" applyFill="1" applyBorder="1" applyAlignment="1" applyProtection="1">
      <alignment vertical="center"/>
      <protection hidden="1"/>
    </xf>
    <xf numFmtId="42" fontId="0" fillId="12" borderId="4" xfId="46" applyFont="1" applyFill="1" applyBorder="1" applyAlignment="1" applyProtection="1">
      <alignment vertical="center"/>
      <protection hidden="1"/>
    </xf>
    <xf numFmtId="10" fontId="0" fillId="25" borderId="4" xfId="0" applyNumberFormat="1" applyFill="1" applyBorder="1" applyAlignment="1" applyProtection="1">
      <alignment vertical="center"/>
      <protection hidden="1"/>
    </xf>
    <xf numFmtId="42" fontId="0" fillId="25" borderId="4" xfId="46" applyFont="1" applyFill="1" applyBorder="1" applyAlignment="1" applyProtection="1">
      <alignment vertical="center"/>
      <protection hidden="1"/>
    </xf>
    <xf numFmtId="5" fontId="93" fillId="0" borderId="0" xfId="19" applyNumberFormat="1" applyFont="1" applyFill="1" applyBorder="1" applyAlignment="1" applyProtection="1">
      <alignment horizontal="center" vertical="center"/>
      <protection hidden="1"/>
    </xf>
    <xf numFmtId="5" fontId="93" fillId="0" borderId="0" xfId="19" applyNumberFormat="1" applyFont="1" applyFill="1" applyBorder="1" applyAlignment="1" applyProtection="1">
      <alignment horizontal="right" vertical="center"/>
      <protection hidden="1"/>
    </xf>
    <xf numFmtId="0" fontId="59" fillId="0" borderId="0" xfId="0" applyFont="1" applyAlignment="1" applyProtection="1">
      <alignment vertical="center" wrapText="1"/>
      <protection hidden="1"/>
    </xf>
    <xf numFmtId="42" fontId="0" fillId="0" borderId="0" xfId="46" applyFont="1" applyFill="1" applyBorder="1" applyAlignment="1" applyProtection="1">
      <alignment vertical="center"/>
      <protection hidden="1"/>
    </xf>
    <xf numFmtId="0" fontId="59" fillId="12" borderId="4" xfId="0" applyFont="1" applyFill="1" applyBorder="1" applyAlignment="1" applyProtection="1">
      <alignment vertical="center"/>
      <protection hidden="1"/>
    </xf>
    <xf numFmtId="0" fontId="59" fillId="12" borderId="4" xfId="0" applyFont="1" applyFill="1" applyBorder="1" applyAlignment="1" applyProtection="1">
      <alignment vertical="center" wrapText="1"/>
      <protection hidden="1"/>
    </xf>
    <xf numFmtId="0" fontId="59" fillId="25" borderId="4" xfId="0" applyFont="1" applyFill="1" applyBorder="1" applyAlignment="1" applyProtection="1">
      <alignment vertical="center"/>
      <protection hidden="1"/>
    </xf>
    <xf numFmtId="0" fontId="59" fillId="25" borderId="4" xfId="0" applyFont="1" applyFill="1" applyBorder="1" applyAlignment="1" applyProtection="1">
      <alignment vertical="center" wrapText="1"/>
      <protection hidden="1"/>
    </xf>
    <xf numFmtId="0" fontId="172" fillId="0" borderId="0" xfId="0" applyFont="1" applyAlignment="1" applyProtection="1">
      <alignment horizontal="right" vertical="top"/>
      <protection hidden="1"/>
    </xf>
    <xf numFmtId="0" fontId="93" fillId="0" borderId="0" xfId="0" applyFont="1" applyAlignment="1" applyProtection="1">
      <alignment horizontal="right" vertical="center"/>
      <protection hidden="1"/>
    </xf>
    <xf numFmtId="175" fontId="0" fillId="25" borderId="4" xfId="26" applyNumberFormat="1" applyFont="1" applyFill="1" applyBorder="1" applyAlignment="1" applyProtection="1">
      <alignment vertical="center" wrapText="1"/>
    </xf>
    <xf numFmtId="175" fontId="0" fillId="25" borderId="4" xfId="26" applyNumberFormat="1" applyFont="1" applyFill="1" applyBorder="1" applyAlignment="1" applyProtection="1">
      <alignment vertical="center" wrapText="1"/>
      <protection locked="0"/>
    </xf>
    <xf numFmtId="2" fontId="14" fillId="25" borderId="4" xfId="2" applyNumberFormat="1" applyFont="1" applyFill="1" applyBorder="1" applyAlignment="1" applyProtection="1">
      <alignment horizontal="center" vertical="center"/>
      <protection hidden="1"/>
    </xf>
    <xf numFmtId="10" fontId="14" fillId="15" borderId="4" xfId="2" applyNumberFormat="1" applyFont="1" applyFill="1" applyBorder="1" applyAlignment="1" applyProtection="1">
      <alignment horizontal="center" vertical="center"/>
      <protection hidden="1"/>
    </xf>
    <xf numFmtId="175" fontId="14" fillId="15" borderId="4" xfId="14" applyNumberFormat="1" applyFont="1" applyFill="1" applyBorder="1" applyAlignment="1" applyProtection="1">
      <alignment vertical="center"/>
      <protection hidden="1"/>
    </xf>
    <xf numFmtId="10" fontId="14" fillId="25" borderId="4" xfId="2" applyNumberFormat="1" applyFont="1" applyFill="1" applyBorder="1" applyAlignment="1" applyProtection="1">
      <alignment horizontal="center" vertical="center"/>
      <protection hidden="1"/>
    </xf>
    <xf numFmtId="2" fontId="14" fillId="16" borderId="4" xfId="2" applyNumberFormat="1" applyFont="1" applyFill="1" applyBorder="1" applyAlignment="1" applyProtection="1">
      <alignment horizontal="center" vertical="center"/>
      <protection hidden="1"/>
    </xf>
    <xf numFmtId="10" fontId="14" fillId="16" borderId="4" xfId="2" applyNumberFormat="1" applyFont="1" applyFill="1" applyBorder="1" applyAlignment="1" applyProtection="1">
      <alignment horizontal="center" vertical="center"/>
      <protection hidden="1"/>
    </xf>
    <xf numFmtId="3" fontId="47" fillId="70" borderId="4" xfId="0" applyNumberFormat="1" applyFont="1" applyFill="1" applyBorder="1" applyAlignment="1" applyProtection="1">
      <alignment vertical="center"/>
      <protection hidden="1"/>
    </xf>
    <xf numFmtId="0" fontId="47" fillId="0" borderId="4" xfId="0" applyFont="1" applyBorder="1" applyAlignment="1" applyProtection="1">
      <alignment horizontal="right" vertical="center"/>
      <protection hidden="1"/>
    </xf>
    <xf numFmtId="0" fontId="28" fillId="59" borderId="4" xfId="5" applyFont="1" applyFill="1" applyBorder="1" applyAlignment="1">
      <alignment horizontal="center" vertical="center" wrapText="1"/>
    </xf>
    <xf numFmtId="0" fontId="108" fillId="59" borderId="4" xfId="5" applyFont="1" applyFill="1" applyBorder="1" applyAlignment="1">
      <alignment horizontal="center"/>
    </xf>
    <xf numFmtId="0" fontId="10" fillId="59" borderId="4" xfId="5" applyFont="1" applyFill="1" applyBorder="1" applyAlignment="1" applyProtection="1">
      <alignment horizontal="center" vertical="center" wrapText="1"/>
      <protection hidden="1"/>
    </xf>
    <xf numFmtId="0" fontId="0" fillId="0" borderId="4" xfId="0" applyBorder="1" applyAlignment="1">
      <alignment horizontal="center"/>
    </xf>
    <xf numFmtId="9" fontId="62" fillId="0" borderId="0" xfId="2" applyFont="1" applyFill="1" applyBorder="1"/>
    <xf numFmtId="170" fontId="66" fillId="0" borderId="0" xfId="0" applyNumberFormat="1" applyFont="1"/>
    <xf numFmtId="170" fontId="187" fillId="15" borderId="126" xfId="7" applyNumberFormat="1" applyFont="1" applyFill="1" applyBorder="1" applyAlignment="1" applyProtection="1">
      <alignment horizontal="center" vertical="center" wrapText="1"/>
      <protection hidden="1"/>
    </xf>
    <xf numFmtId="165" fontId="114" fillId="13" borderId="4" xfId="1" applyFont="1" applyFill="1" applyBorder="1" applyAlignment="1" applyProtection="1">
      <alignment horizontal="right" vertical="center" wrapText="1"/>
      <protection locked="0"/>
    </xf>
    <xf numFmtId="165" fontId="14" fillId="50" borderId="0" xfId="1" applyFont="1" applyFill="1" applyAlignment="1" applyProtection="1">
      <alignment vertical="center" wrapText="1"/>
      <protection locked="0"/>
    </xf>
    <xf numFmtId="165" fontId="27" fillId="50" borderId="4" xfId="1" applyFont="1" applyFill="1" applyBorder="1" applyAlignment="1" applyProtection="1">
      <alignment horizontal="justify" vertical="center" wrapText="1"/>
      <protection locked="0"/>
    </xf>
    <xf numFmtId="165" fontId="114" fillId="50" borderId="4" xfId="1" applyFont="1" applyFill="1" applyBorder="1" applyAlignment="1" applyProtection="1">
      <alignment horizontal="justify" vertical="center" wrapText="1"/>
      <protection locked="0"/>
    </xf>
    <xf numFmtId="170" fontId="28" fillId="5" borderId="12" xfId="2" applyNumberFormat="1" applyFont="1" applyFill="1" applyBorder="1" applyAlignment="1" applyProtection="1">
      <alignment horizontal="center" vertical="center"/>
      <protection locked="0"/>
    </xf>
    <xf numFmtId="170" fontId="28" fillId="5" borderId="12" xfId="7" applyNumberFormat="1" applyFont="1" applyFill="1" applyBorder="1" applyAlignment="1" applyProtection="1">
      <alignment horizontal="center" vertical="center"/>
      <protection locked="0"/>
    </xf>
    <xf numFmtId="0" fontId="27" fillId="50" borderId="4" xfId="5" applyFont="1" applyFill="1" applyBorder="1" applyAlignment="1" applyProtection="1">
      <alignment horizontal="justify" vertical="center" wrapText="1"/>
      <protection locked="0"/>
    </xf>
    <xf numFmtId="170" fontId="28" fillId="58" borderId="19" xfId="2" applyNumberFormat="1" applyFont="1" applyFill="1" applyBorder="1" applyAlignment="1" applyProtection="1">
      <alignment horizontal="center" vertical="center"/>
      <protection hidden="1"/>
    </xf>
    <xf numFmtId="170" fontId="28" fillId="10" borderId="19" xfId="24" applyNumberFormat="1" applyFont="1" applyFill="1" applyBorder="1" applyAlignment="1" applyProtection="1">
      <alignment horizontal="center" vertical="center"/>
      <protection hidden="1"/>
    </xf>
    <xf numFmtId="10" fontId="66" fillId="0" borderId="0" xfId="0" applyNumberFormat="1" applyFont="1"/>
    <xf numFmtId="0" fontId="14" fillId="0" borderId="4" xfId="0" applyFont="1" applyBorder="1" applyAlignment="1" applyProtection="1">
      <alignment horizontal="center" vertical="center"/>
      <protection hidden="1"/>
    </xf>
    <xf numFmtId="174" fontId="0" fillId="69" borderId="4" xfId="1" applyNumberFormat="1" applyFont="1" applyFill="1" applyBorder="1" applyAlignment="1" applyProtection="1">
      <alignment vertical="center"/>
      <protection locked="0"/>
    </xf>
    <xf numFmtId="9" fontId="148" fillId="15" borderId="4" xfId="2" applyFont="1" applyFill="1" applyBorder="1" applyAlignment="1">
      <alignment horizontal="center" vertical="center" wrapText="1"/>
    </xf>
    <xf numFmtId="9" fontId="149" fillId="15" borderId="4" xfId="2" applyFont="1" applyFill="1" applyBorder="1" applyAlignment="1">
      <alignment horizontal="center" vertical="center" wrapText="1"/>
    </xf>
    <xf numFmtId="165" fontId="148" fillId="15" borderId="4" xfId="1" applyFont="1" applyFill="1" applyBorder="1" applyAlignment="1">
      <alignment horizontal="center" vertical="center" wrapText="1"/>
    </xf>
    <xf numFmtId="165" fontId="149" fillId="15" borderId="4" xfId="1" applyFont="1" applyFill="1" applyBorder="1" applyAlignment="1">
      <alignment horizontal="center" vertical="center" wrapText="1"/>
    </xf>
    <xf numFmtId="9" fontId="148" fillId="15" borderId="4" xfId="2" applyFont="1" applyFill="1" applyBorder="1" applyAlignment="1">
      <alignment horizontal="justify" vertical="center" wrapText="1"/>
    </xf>
    <xf numFmtId="165" fontId="148" fillId="15" borderId="4" xfId="1" applyFont="1" applyFill="1" applyBorder="1" applyAlignment="1">
      <alignment horizontal="justify" vertical="center" wrapText="1"/>
    </xf>
    <xf numFmtId="9" fontId="53" fillId="15" borderId="4" xfId="2" applyFont="1" applyFill="1" applyBorder="1" applyAlignment="1">
      <alignment horizontal="center" vertical="center" wrapText="1"/>
    </xf>
    <xf numFmtId="9" fontId="9" fillId="15" borderId="4" xfId="2" applyFont="1" applyFill="1" applyBorder="1" applyAlignment="1">
      <alignment horizontal="center" vertical="center" wrapText="1"/>
    </xf>
    <xf numFmtId="9" fontId="14" fillId="15" borderId="4" xfId="2" applyFont="1" applyFill="1" applyBorder="1" applyAlignment="1">
      <alignment vertical="center"/>
    </xf>
    <xf numFmtId="9" fontId="65" fillId="15" borderId="4" xfId="2" applyFont="1" applyFill="1" applyBorder="1" applyAlignment="1">
      <alignment horizontal="center" vertical="center" textRotation="90" wrapText="1"/>
    </xf>
    <xf numFmtId="9" fontId="53" fillId="15" borderId="22" xfId="2" applyFont="1" applyFill="1" applyBorder="1" applyAlignment="1" applyProtection="1">
      <alignment horizontal="center" vertical="center" wrapText="1"/>
      <protection locked="0"/>
    </xf>
    <xf numFmtId="179" fontId="0" fillId="9" borderId="9" xfId="0" applyNumberFormat="1" applyFill="1" applyBorder="1" applyAlignment="1" applyProtection="1">
      <alignment vertical="center"/>
      <protection locked="0"/>
    </xf>
    <xf numFmtId="0" fontId="25" fillId="29" borderId="4" xfId="0" applyFont="1" applyFill="1" applyBorder="1" applyAlignment="1" applyProtection="1">
      <alignment horizontal="center" vertical="center" wrapText="1"/>
      <protection locked="0"/>
    </xf>
    <xf numFmtId="164" fontId="14" fillId="20" borderId="4" xfId="14" applyFont="1" applyFill="1" applyBorder="1" applyAlignment="1" applyProtection="1">
      <alignment vertical="center"/>
      <protection locked="0"/>
    </xf>
    <xf numFmtId="0" fontId="14" fillId="29" borderId="4" xfId="0" applyFont="1" applyFill="1" applyBorder="1" applyAlignment="1" applyProtection="1">
      <alignment horizontal="left" vertical="center" wrapText="1"/>
      <protection locked="0"/>
    </xf>
    <xf numFmtId="0" fontId="25" fillId="20" borderId="4" xfId="0" applyFont="1" applyFill="1" applyBorder="1" applyAlignment="1" applyProtection="1">
      <alignment horizontal="left" vertical="center"/>
      <protection locked="0"/>
    </xf>
    <xf numFmtId="0" fontId="14" fillId="20" borderId="4" xfId="0" applyFont="1" applyFill="1" applyBorder="1" applyAlignment="1" applyProtection="1">
      <alignment horizontal="center" vertical="center"/>
      <protection locked="0"/>
    </xf>
    <xf numFmtId="0" fontId="25" fillId="29" borderId="4" xfId="0" applyFont="1" applyFill="1" applyBorder="1" applyAlignment="1" applyProtection="1">
      <alignment horizontal="center" vertical="center" wrapText="1"/>
      <protection hidden="1"/>
    </xf>
    <xf numFmtId="0" fontId="36" fillId="14" borderId="4" xfId="0" applyFont="1" applyFill="1" applyBorder="1" applyAlignment="1" applyProtection="1">
      <alignment vertical="center" wrapText="1"/>
      <protection locked="0"/>
    </xf>
    <xf numFmtId="0" fontId="36" fillId="14" borderId="4" xfId="0" applyFont="1" applyFill="1" applyBorder="1" applyAlignment="1" applyProtection="1">
      <alignment horizontal="justify" vertical="center" wrapText="1"/>
      <protection locked="0"/>
    </xf>
    <xf numFmtId="0" fontId="14" fillId="14" borderId="4" xfId="0" applyFont="1" applyFill="1" applyBorder="1" applyAlignment="1" applyProtection="1">
      <alignment horizontal="left" vertical="center" wrapText="1"/>
      <protection locked="0"/>
    </xf>
    <xf numFmtId="164" fontId="25" fillId="20" borderId="4" xfId="14" applyFont="1" applyFill="1" applyBorder="1" applyAlignment="1" applyProtection="1">
      <alignment vertical="center"/>
      <protection hidden="1"/>
    </xf>
    <xf numFmtId="10" fontId="25" fillId="0" borderId="4" xfId="2" applyNumberFormat="1" applyFont="1" applyFill="1" applyBorder="1" applyAlignment="1" applyProtection="1">
      <alignment horizontal="center" vertical="center"/>
      <protection hidden="1"/>
    </xf>
    <xf numFmtId="0" fontId="51" fillId="61" borderId="130" xfId="33" applyFont="1" applyFill="1" applyBorder="1" applyAlignment="1" applyProtection="1">
      <alignment horizontal="center" vertical="center" wrapText="1"/>
      <protection hidden="1"/>
    </xf>
    <xf numFmtId="0" fontId="25" fillId="13" borderId="0" xfId="0" applyFont="1" applyFill="1" applyAlignment="1" applyProtection="1">
      <alignment horizontal="center" vertical="center"/>
      <protection hidden="1"/>
    </xf>
    <xf numFmtId="0" fontId="156" fillId="13" borderId="0" xfId="0" applyFont="1" applyFill="1" applyAlignment="1" applyProtection="1">
      <alignment horizontal="center" vertical="center"/>
      <protection hidden="1"/>
    </xf>
    <xf numFmtId="0" fontId="113" fillId="13" borderId="0" xfId="5" applyFont="1" applyFill="1" applyAlignment="1">
      <alignment horizontal="left" vertical="center" wrapText="1"/>
    </xf>
    <xf numFmtId="0" fontId="14" fillId="13" borderId="0" xfId="0" applyFont="1" applyFill="1" applyAlignment="1">
      <alignment vertical="center"/>
    </xf>
    <xf numFmtId="0" fontId="51" fillId="61" borderId="51" xfId="33" applyFont="1" applyFill="1" applyBorder="1" applyAlignment="1" applyProtection="1">
      <alignment horizontal="center" vertical="center" wrapText="1"/>
      <protection hidden="1"/>
    </xf>
    <xf numFmtId="0" fontId="51" fillId="61" borderId="24" xfId="33" applyFont="1" applyFill="1" applyBorder="1" applyAlignment="1" applyProtection="1">
      <alignment horizontal="center" vertical="center" wrapText="1"/>
      <protection hidden="1"/>
    </xf>
    <xf numFmtId="3" fontId="10" fillId="69" borderId="20" xfId="5" applyNumberFormat="1" applyFont="1" applyFill="1" applyBorder="1" applyAlignment="1" applyProtection="1">
      <alignment vertical="center" wrapText="1"/>
      <protection locked="0"/>
    </xf>
    <xf numFmtId="3" fontId="10" fillId="69" borderId="4" xfId="5" applyNumberFormat="1" applyFont="1" applyFill="1" applyBorder="1" applyAlignment="1" applyProtection="1">
      <alignment vertical="center" wrapText="1"/>
      <protection locked="0"/>
    </xf>
    <xf numFmtId="0" fontId="25" fillId="13" borderId="4" xfId="0" applyFont="1" applyFill="1" applyBorder="1" applyAlignment="1" applyProtection="1">
      <alignment horizontal="center"/>
      <protection locked="0"/>
    </xf>
    <xf numFmtId="0" fontId="74" fillId="13" borderId="0" xfId="0" applyFont="1" applyFill="1" applyAlignment="1" applyProtection="1">
      <alignment vertical="center"/>
      <protection hidden="1"/>
    </xf>
    <xf numFmtId="0" fontId="114" fillId="0" borderId="2" xfId="5" applyFont="1" applyBorder="1" applyAlignment="1">
      <alignment vertical="center" wrapText="1"/>
    </xf>
    <xf numFmtId="0" fontId="177" fillId="0" borderId="0" xfId="0" applyFont="1" applyAlignment="1" applyProtection="1">
      <alignment vertical="center" wrapText="1"/>
      <protection locked="0"/>
    </xf>
    <xf numFmtId="0" fontId="92" fillId="0" borderId="0" xfId="0" applyFont="1" applyAlignment="1" applyProtection="1">
      <alignment vertical="center" wrapText="1"/>
      <protection locked="0"/>
    </xf>
    <xf numFmtId="167" fontId="23" fillId="61" borderId="51" xfId="24" applyNumberFormat="1" applyFont="1" applyFill="1" applyBorder="1" applyAlignment="1" applyProtection="1">
      <alignment horizontal="center" vertical="center" wrapText="1"/>
      <protection hidden="1"/>
    </xf>
    <xf numFmtId="167" fontId="23" fillId="61" borderId="24" xfId="24" applyNumberFormat="1" applyFont="1" applyFill="1" applyBorder="1" applyAlignment="1" applyProtection="1">
      <alignment horizontal="center" vertical="center"/>
      <protection hidden="1"/>
    </xf>
    <xf numFmtId="167" fontId="192" fillId="61" borderId="24" xfId="24" applyNumberFormat="1" applyFont="1" applyFill="1" applyBorder="1" applyAlignment="1" applyProtection="1">
      <alignment horizontal="center" vertical="center" wrapText="1"/>
      <protection hidden="1"/>
    </xf>
    <xf numFmtId="167" fontId="23" fillId="61" borderId="24" xfId="24" applyNumberFormat="1" applyFont="1" applyFill="1" applyBorder="1" applyAlignment="1" applyProtection="1">
      <alignment horizontal="center" vertical="center" wrapText="1"/>
      <protection hidden="1"/>
    </xf>
    <xf numFmtId="167" fontId="23" fillId="61" borderId="130" xfId="24" applyNumberFormat="1" applyFont="1" applyFill="1" applyBorder="1" applyAlignment="1" applyProtection="1">
      <alignment horizontal="center" vertical="center"/>
      <protection hidden="1"/>
    </xf>
    <xf numFmtId="10" fontId="91" fillId="20" borderId="4" xfId="2" applyNumberFormat="1" applyFont="1" applyFill="1" applyBorder="1" applyAlignment="1" applyProtection="1">
      <alignment horizontal="center" vertical="center"/>
      <protection locked="0"/>
    </xf>
    <xf numFmtId="0" fontId="113" fillId="13" borderId="2" xfId="0" applyFont="1" applyFill="1" applyBorder="1" applyAlignment="1" applyProtection="1">
      <alignment vertical="center"/>
      <protection hidden="1"/>
    </xf>
    <xf numFmtId="10" fontId="172" fillId="0" borderId="0" xfId="2" applyNumberFormat="1" applyFont="1"/>
    <xf numFmtId="0" fontId="35" fillId="34" borderId="4" xfId="0" applyFont="1" applyFill="1" applyBorder="1" applyAlignment="1" applyProtection="1">
      <alignment horizontal="center" vertical="center" wrapText="1"/>
      <protection hidden="1"/>
    </xf>
    <xf numFmtId="3" fontId="14" fillId="0" borderId="21" xfId="0" applyNumberFormat="1" applyFont="1" applyBorder="1" applyAlignment="1" applyProtection="1">
      <alignment horizontal="right" vertical="center" wrapText="1"/>
      <protection locked="0"/>
    </xf>
    <xf numFmtId="3" fontId="14" fillId="0" borderId="193" xfId="0" applyNumberFormat="1" applyFont="1" applyBorder="1" applyAlignment="1" applyProtection="1">
      <alignment horizontal="right" vertical="center" wrapText="1"/>
      <protection locked="0"/>
    </xf>
    <xf numFmtId="181" fontId="25" fillId="0" borderId="17" xfId="0" applyNumberFormat="1" applyFont="1" applyBorder="1" applyAlignment="1">
      <alignment horizontal="center" vertical="center" wrapText="1"/>
    </xf>
    <xf numFmtId="3" fontId="14" fillId="0" borderId="21" xfId="15" applyNumberFormat="1" applyFont="1" applyFill="1" applyBorder="1" applyAlignment="1" applyProtection="1">
      <alignment horizontal="right" vertical="center" wrapText="1"/>
      <protection locked="0"/>
    </xf>
    <xf numFmtId="2" fontId="35" fillId="34" borderId="17" xfId="0" applyNumberFormat="1" applyFont="1" applyFill="1" applyBorder="1" applyAlignment="1" applyProtection="1">
      <alignment horizontal="center" vertical="center" wrapText="1"/>
      <protection hidden="1"/>
    </xf>
    <xf numFmtId="184" fontId="25" fillId="0" borderId="17" xfId="2" applyNumberFormat="1" applyFont="1" applyFill="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6" xfId="0" applyFont="1" applyBorder="1" applyAlignment="1" applyProtection="1">
      <alignment vertical="center" wrapText="1"/>
      <protection locked="0"/>
    </xf>
    <xf numFmtId="0" fontId="0" fillId="0" borderId="45" xfId="0" applyBorder="1"/>
    <xf numFmtId="1" fontId="29" fillId="44" borderId="65" xfId="6" applyNumberFormat="1" applyFont="1" applyFill="1" applyBorder="1" applyAlignment="1">
      <alignment horizontal="center" vertical="center"/>
    </xf>
    <xf numFmtId="170" fontId="11" fillId="5" borderId="66" xfId="2" applyNumberFormat="1" applyFont="1" applyFill="1" applyBorder="1" applyAlignment="1" applyProtection="1">
      <alignment horizontal="center" vertical="center"/>
      <protection locked="0"/>
    </xf>
    <xf numFmtId="170" fontId="11" fillId="65" borderId="66" xfId="7" applyNumberFormat="1" applyFont="1" applyFill="1" applyBorder="1" applyAlignment="1">
      <alignment horizontal="center" vertical="center"/>
    </xf>
    <xf numFmtId="0" fontId="28" fillId="59" borderId="93" xfId="5" applyFont="1" applyFill="1" applyBorder="1" applyAlignment="1">
      <alignment horizontal="center" vertical="center" wrapText="1"/>
    </xf>
    <xf numFmtId="0" fontId="108" fillId="59" borderId="93" xfId="5" applyFont="1" applyFill="1" applyBorder="1" applyAlignment="1">
      <alignment horizontal="center"/>
    </xf>
    <xf numFmtId="0" fontId="28" fillId="30" borderId="54" xfId="5" applyFont="1" applyFill="1" applyBorder="1" applyAlignment="1">
      <alignment horizontal="center" vertical="center" wrapText="1"/>
    </xf>
    <xf numFmtId="43" fontId="108" fillId="30" borderId="54" xfId="18" applyFont="1" applyFill="1" applyBorder="1" applyAlignment="1" applyProtection="1">
      <alignment horizontal="center"/>
      <protection locked="0"/>
    </xf>
    <xf numFmtId="9" fontId="53" fillId="15" borderId="191" xfId="2" applyFont="1" applyFill="1" applyBorder="1" applyAlignment="1" applyProtection="1">
      <alignment horizontal="center" vertical="center" wrapText="1"/>
      <protection locked="0"/>
    </xf>
    <xf numFmtId="0" fontId="114" fillId="0" borderId="134" xfId="5" applyFont="1" applyBorder="1" applyAlignment="1" applyProtection="1">
      <alignment horizontal="center" vertical="center" wrapText="1"/>
      <protection hidden="1"/>
    </xf>
    <xf numFmtId="0" fontId="114" fillId="0" borderId="191" xfId="5" applyFont="1" applyBorder="1" applyAlignment="1">
      <alignment horizontal="center" vertical="center" wrapText="1"/>
    </xf>
    <xf numFmtId="0" fontId="53" fillId="0" borderId="191" xfId="5" applyFont="1" applyBorder="1" applyAlignment="1" applyProtection="1">
      <alignment horizontal="center" vertical="center" wrapText="1"/>
      <protection hidden="1"/>
    </xf>
    <xf numFmtId="0" fontId="114" fillId="0" borderId="191" xfId="5" applyFont="1" applyBorder="1" applyAlignment="1" applyProtection="1">
      <alignment horizontal="justify" vertical="center" wrapText="1"/>
      <protection hidden="1"/>
    </xf>
    <xf numFmtId="0" fontId="65" fillId="0" borderId="191" xfId="5" applyFont="1" applyBorder="1" applyAlignment="1" applyProtection="1">
      <alignment vertical="center" wrapText="1"/>
      <protection hidden="1"/>
    </xf>
    <xf numFmtId="0" fontId="53" fillId="0" borderId="191" xfId="5" applyFont="1" applyBorder="1" applyAlignment="1" applyProtection="1">
      <alignment vertical="center" wrapText="1"/>
      <protection hidden="1"/>
    </xf>
    <xf numFmtId="0" fontId="35" fillId="36" borderId="4" xfId="0" applyFont="1" applyFill="1" applyBorder="1" applyAlignment="1" applyProtection="1">
      <alignment horizontal="center" vertical="center" wrapText="1"/>
      <protection hidden="1"/>
    </xf>
    <xf numFmtId="0" fontId="35" fillId="9" borderId="4" xfId="0" applyFont="1" applyFill="1" applyBorder="1" applyAlignment="1" applyProtection="1">
      <alignment horizontal="center" vertical="center" wrapText="1"/>
      <protection hidden="1"/>
    </xf>
    <xf numFmtId="2" fontId="47" fillId="36" borderId="4" xfId="0" applyNumberFormat="1" applyFont="1" applyFill="1" applyBorder="1" applyAlignment="1" applyProtection="1">
      <alignment horizontal="center" vertical="center"/>
      <protection hidden="1"/>
    </xf>
    <xf numFmtId="173" fontId="47" fillId="11" borderId="4" xfId="0" applyNumberFormat="1" applyFont="1" applyFill="1" applyBorder="1" applyAlignment="1" applyProtection="1">
      <alignment horizontal="center" vertical="center"/>
      <protection hidden="1"/>
    </xf>
    <xf numFmtId="173" fontId="47" fillId="9" borderId="4" xfId="0" applyNumberFormat="1" applyFont="1" applyFill="1" applyBorder="1" applyAlignment="1" applyProtection="1">
      <alignment horizontal="center" vertical="center"/>
      <protection hidden="1"/>
    </xf>
    <xf numFmtId="173" fontId="47" fillId="34" borderId="4" xfId="0" applyNumberFormat="1" applyFont="1" applyFill="1" applyBorder="1" applyAlignment="1" applyProtection="1">
      <alignment horizontal="center" vertical="center"/>
      <protection hidden="1"/>
    </xf>
    <xf numFmtId="0" fontId="47" fillId="66" borderId="4" xfId="0" applyFont="1" applyFill="1" applyBorder="1" applyAlignment="1" applyProtection="1">
      <alignment horizontal="center" vertical="center"/>
      <protection hidden="1"/>
    </xf>
    <xf numFmtId="0" fontId="47" fillId="56" borderId="4" xfId="0" applyFont="1" applyFill="1" applyBorder="1" applyAlignment="1" applyProtection="1">
      <alignment horizontal="center" vertical="center"/>
      <protection hidden="1"/>
    </xf>
    <xf numFmtId="0" fontId="47" fillId="66" borderId="4" xfId="0" applyFont="1" applyFill="1" applyBorder="1" applyAlignment="1" applyProtection="1">
      <alignment horizontal="left" vertical="center"/>
      <protection hidden="1"/>
    </xf>
    <xf numFmtId="2" fontId="47" fillId="56" borderId="4" xfId="0" applyNumberFormat="1" applyFont="1" applyFill="1" applyBorder="1" applyAlignment="1" applyProtection="1">
      <alignment horizontal="center" vertical="center"/>
      <protection hidden="1"/>
    </xf>
    <xf numFmtId="0" fontId="47" fillId="6" borderId="4" xfId="0" applyFont="1" applyFill="1" applyBorder="1" applyAlignment="1" applyProtection="1">
      <alignment horizontal="center" vertical="center"/>
      <protection hidden="1"/>
    </xf>
    <xf numFmtId="0" fontId="19" fillId="0" borderId="46" xfId="0" applyFont="1" applyBorder="1" applyAlignment="1" applyProtection="1">
      <alignment vertical="center"/>
      <protection hidden="1"/>
    </xf>
    <xf numFmtId="0" fontId="11" fillId="13" borderId="0" xfId="16" applyFont="1" applyFill="1" applyBorder="1" applyAlignment="1" applyProtection="1">
      <alignment horizontal="center" vertical="center" wrapText="1"/>
      <protection hidden="1"/>
    </xf>
    <xf numFmtId="2" fontId="193" fillId="34" borderId="17" xfId="0" applyNumberFormat="1" applyFont="1" applyFill="1" applyBorder="1" applyAlignment="1" applyProtection="1">
      <alignment horizontal="center" vertical="center" wrapText="1"/>
      <protection hidden="1"/>
    </xf>
    <xf numFmtId="170" fontId="25" fillId="64" borderId="16" xfId="2" applyNumberFormat="1" applyFont="1" applyFill="1" applyBorder="1" applyAlignment="1" applyProtection="1">
      <alignment vertical="center" wrapText="1"/>
      <protection hidden="1"/>
    </xf>
    <xf numFmtId="170" fontId="25" fillId="11" borderId="21" xfId="2" applyNumberFormat="1" applyFont="1" applyFill="1" applyBorder="1" applyAlignment="1" applyProtection="1">
      <alignment vertical="center" wrapText="1"/>
      <protection hidden="1"/>
    </xf>
    <xf numFmtId="9" fontId="62" fillId="28" borderId="89" xfId="2" applyFont="1" applyFill="1" applyBorder="1"/>
    <xf numFmtId="9" fontId="62" fillId="0" borderId="4" xfId="2" applyFont="1" applyBorder="1"/>
    <xf numFmtId="9" fontId="62" fillId="64" borderId="4" xfId="2" applyFont="1" applyFill="1" applyBorder="1"/>
    <xf numFmtId="14" fontId="14" fillId="0" borderId="0" xfId="0" applyNumberFormat="1" applyFont="1" applyAlignment="1" applyProtection="1">
      <alignment horizontal="left" vertical="center"/>
      <protection hidden="1"/>
    </xf>
    <xf numFmtId="0" fontId="29" fillId="0" borderId="0" xfId="5" applyFont="1" applyAlignment="1" applyProtection="1">
      <alignment vertical="center"/>
      <protection hidden="1"/>
    </xf>
    <xf numFmtId="170" fontId="66" fillId="0" borderId="0" xfId="0" applyNumberFormat="1" applyFont="1" applyProtection="1">
      <protection hidden="1"/>
    </xf>
    <xf numFmtId="177" fontId="35" fillId="70" borderId="4" xfId="17" applyNumberFormat="1" applyFont="1" applyFill="1" applyBorder="1" applyAlignment="1" applyProtection="1">
      <alignment horizontal="center" vertical="center"/>
      <protection hidden="1"/>
    </xf>
    <xf numFmtId="41" fontId="0" fillId="0" borderId="4" xfId="19" applyFont="1" applyBorder="1" applyAlignment="1" applyProtection="1">
      <protection hidden="1"/>
    </xf>
    <xf numFmtId="41" fontId="0" fillId="0" borderId="4" xfId="19" applyFont="1" applyFill="1" applyBorder="1" applyAlignment="1" applyProtection="1">
      <protection hidden="1"/>
    </xf>
    <xf numFmtId="170" fontId="0" fillId="0" borderId="4" xfId="2" applyNumberFormat="1" applyFont="1" applyFill="1" applyBorder="1" applyAlignment="1" applyProtection="1">
      <alignment horizontal="center"/>
      <protection hidden="1"/>
    </xf>
    <xf numFmtId="3" fontId="14" fillId="13" borderId="4" xfId="15" applyNumberFormat="1" applyFont="1" applyFill="1" applyBorder="1" applyAlignment="1" applyProtection="1">
      <alignment horizontal="right" vertical="center" wrapText="1"/>
    </xf>
    <xf numFmtId="3" fontId="14" fillId="0" borderId="4" xfId="15" applyNumberFormat="1" applyFont="1" applyFill="1" applyBorder="1" applyAlignment="1" applyProtection="1">
      <alignment horizontal="right" vertical="center" wrapText="1"/>
    </xf>
    <xf numFmtId="0" fontId="3" fillId="34" borderId="11"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3" fillId="36" borderId="49" xfId="0" applyFont="1" applyFill="1" applyBorder="1" applyAlignment="1">
      <alignment horizontal="center" vertical="center" wrapText="1"/>
    </xf>
    <xf numFmtId="0" fontId="14" fillId="28" borderId="89" xfId="0" applyFont="1" applyFill="1" applyBorder="1" applyAlignment="1">
      <alignment wrapText="1"/>
    </xf>
    <xf numFmtId="0" fontId="14" fillId="0" borderId="42" xfId="0" applyFont="1" applyBorder="1" applyAlignment="1">
      <alignment horizontal="left" vertical="center" wrapText="1"/>
    </xf>
    <xf numFmtId="9" fontId="62" fillId="0" borderId="4" xfId="2" applyFont="1" applyBorder="1" applyAlignment="1">
      <alignment horizontal="center" vertical="center"/>
    </xf>
    <xf numFmtId="170" fontId="14" fillId="0" borderId="0" xfId="2" applyNumberFormat="1" applyFont="1" applyAlignment="1" applyProtection="1">
      <alignment vertical="center" wrapText="1"/>
      <protection locked="0"/>
    </xf>
    <xf numFmtId="10" fontId="0" fillId="0" borderId="0" xfId="2" applyNumberFormat="1" applyFont="1" applyAlignment="1">
      <alignment horizontal="center"/>
    </xf>
    <xf numFmtId="10" fontId="62" fillId="0" borderId="4" xfId="2" applyNumberFormat="1" applyFont="1" applyBorder="1" applyAlignment="1">
      <alignment horizontal="center"/>
    </xf>
    <xf numFmtId="0" fontId="53" fillId="67" borderId="209" xfId="5" applyFont="1" applyFill="1" applyBorder="1" applyAlignment="1" applyProtection="1">
      <alignment horizontal="center" vertical="center" wrapText="1"/>
      <protection locked="0"/>
    </xf>
    <xf numFmtId="0" fontId="53" fillId="67" borderId="93" xfId="5" applyFont="1" applyFill="1" applyBorder="1" applyAlignment="1" applyProtection="1">
      <alignment horizontal="center" vertical="center" wrapText="1"/>
      <protection locked="0"/>
    </xf>
    <xf numFmtId="0" fontId="53" fillId="67" borderId="163" xfId="5" applyFont="1" applyFill="1" applyBorder="1" applyAlignment="1" applyProtection="1">
      <alignment horizontal="center" vertical="center" wrapText="1"/>
      <protection locked="0"/>
    </xf>
    <xf numFmtId="9" fontId="53" fillId="48" borderId="176" xfId="7" applyFont="1" applyFill="1" applyBorder="1" applyAlignment="1" applyProtection="1">
      <alignment horizontal="center" vertical="center"/>
      <protection locked="0"/>
    </xf>
    <xf numFmtId="9" fontId="53" fillId="48" borderId="4" xfId="7" applyFont="1" applyFill="1" applyBorder="1" applyAlignment="1" applyProtection="1">
      <alignment horizontal="center" vertical="center"/>
      <protection locked="0"/>
    </xf>
    <xf numFmtId="9" fontId="53" fillId="48" borderId="177" xfId="7" applyFont="1" applyFill="1" applyBorder="1" applyAlignment="1" applyProtection="1">
      <alignment horizontal="center" vertical="center"/>
      <protection locked="0"/>
    </xf>
    <xf numFmtId="9" fontId="53" fillId="48" borderId="14" xfId="7" applyFont="1" applyFill="1" applyBorder="1" applyAlignment="1" applyProtection="1">
      <alignment horizontal="center" vertical="center"/>
      <protection locked="0"/>
    </xf>
    <xf numFmtId="0" fontId="194" fillId="0" borderId="0" xfId="0" applyFont="1" applyProtection="1">
      <protection locked="0"/>
    </xf>
    <xf numFmtId="167" fontId="61" fillId="32" borderId="4" xfId="24" applyNumberFormat="1" applyFont="1" applyFill="1" applyBorder="1" applyAlignment="1">
      <alignment horizontal="center" vertical="center"/>
    </xf>
    <xf numFmtId="0" fontId="47" fillId="0" borderId="4" xfId="0" applyFont="1" applyBorder="1" applyAlignment="1" applyProtection="1">
      <alignment horizontal="left" vertical="center" wrapText="1"/>
      <protection hidden="1"/>
    </xf>
    <xf numFmtId="0" fontId="0" fillId="0" borderId="0" xfId="0" applyAlignment="1">
      <alignment horizontal="center"/>
    </xf>
    <xf numFmtId="0" fontId="25" fillId="0" borderId="0" xfId="0" applyFont="1" applyAlignment="1">
      <alignment horizontal="center"/>
    </xf>
    <xf numFmtId="0" fontId="0" fillId="0" borderId="0" xfId="0" applyAlignment="1">
      <alignment horizontal="left" vertical="top" wrapText="1"/>
    </xf>
    <xf numFmtId="0" fontId="108" fillId="56" borderId="99" xfId="5" applyFont="1" applyFill="1" applyBorder="1" applyAlignment="1" applyProtection="1">
      <alignment horizontal="center" vertical="center" wrapText="1"/>
      <protection hidden="1"/>
    </xf>
    <xf numFmtId="0" fontId="108" fillId="56" borderId="6" xfId="5" applyFont="1" applyFill="1" applyBorder="1" applyAlignment="1" applyProtection="1">
      <alignment horizontal="center" vertical="center" wrapText="1"/>
      <protection hidden="1"/>
    </xf>
    <xf numFmtId="0" fontId="108" fillId="56" borderId="103" xfId="5" applyFont="1" applyFill="1" applyBorder="1" applyAlignment="1" applyProtection="1">
      <alignment horizontal="center" vertical="center" wrapText="1"/>
      <protection hidden="1"/>
    </xf>
    <xf numFmtId="0" fontId="108" fillId="56" borderId="138" xfId="5" applyFont="1" applyFill="1" applyBorder="1" applyAlignment="1" applyProtection="1">
      <alignment horizontal="center" vertical="center" wrapText="1"/>
      <protection hidden="1"/>
    </xf>
    <xf numFmtId="0" fontId="14" fillId="0" borderId="169" xfId="0" applyFont="1" applyBorder="1" applyAlignment="1" applyProtection="1">
      <alignment horizontal="center" vertical="center"/>
      <protection locked="0"/>
    </xf>
    <xf numFmtId="0" fontId="14" fillId="0" borderId="4"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9" fontId="66" fillId="0" borderId="158" xfId="2" applyFont="1" applyBorder="1" applyAlignment="1" applyProtection="1">
      <alignment horizontal="center" vertical="center"/>
      <protection hidden="1"/>
    </xf>
    <xf numFmtId="9" fontId="66" fillId="0" borderId="24" xfId="2" applyFont="1" applyBorder="1" applyAlignment="1" applyProtection="1">
      <alignment horizontal="center" vertical="center"/>
      <protection hidden="1"/>
    </xf>
    <xf numFmtId="9" fontId="66" fillId="0" borderId="14" xfId="2" applyFont="1" applyBorder="1" applyAlignment="1" applyProtection="1">
      <alignment horizontal="center" vertical="center"/>
      <protection hidden="1"/>
    </xf>
    <xf numFmtId="0" fontId="108" fillId="33" borderId="100" xfId="5" applyFont="1" applyFill="1" applyBorder="1" applyAlignment="1" applyProtection="1">
      <alignment horizontal="center" vertical="center" wrapText="1"/>
      <protection hidden="1"/>
    </xf>
    <xf numFmtId="0" fontId="108" fillId="33" borderId="6" xfId="5" applyFont="1" applyFill="1" applyBorder="1" applyAlignment="1" applyProtection="1">
      <alignment horizontal="center" vertical="center" wrapText="1"/>
      <protection hidden="1"/>
    </xf>
    <xf numFmtId="0" fontId="108" fillId="33" borderId="2" xfId="5" applyFont="1" applyFill="1" applyBorder="1" applyAlignment="1" applyProtection="1">
      <alignment horizontal="center" vertical="center" wrapText="1"/>
      <protection hidden="1"/>
    </xf>
    <xf numFmtId="0" fontId="108" fillId="33" borderId="138" xfId="5" applyFont="1" applyFill="1" applyBorder="1" applyAlignment="1" applyProtection="1">
      <alignment horizontal="center" vertical="center" wrapText="1"/>
      <protection hidden="1"/>
    </xf>
    <xf numFmtId="0" fontId="108" fillId="33" borderId="124" xfId="5" applyFont="1" applyFill="1" applyBorder="1" applyAlignment="1" applyProtection="1">
      <alignment horizontal="center" vertical="center" wrapText="1"/>
      <protection hidden="1"/>
    </xf>
    <xf numFmtId="0" fontId="108" fillId="33" borderId="122" xfId="5" applyFont="1" applyFill="1" applyBorder="1" applyAlignment="1" applyProtection="1">
      <alignment horizontal="center" vertical="center" wrapText="1"/>
      <protection hidden="1"/>
    </xf>
    <xf numFmtId="170" fontId="114" fillId="36" borderId="28" xfId="7" applyNumberFormat="1" applyFont="1" applyFill="1" applyBorder="1" applyAlignment="1" applyProtection="1">
      <alignment horizontal="center"/>
      <protection hidden="1"/>
    </xf>
    <xf numFmtId="170" fontId="114" fillId="36" borderId="130" xfId="7" applyNumberFormat="1" applyFont="1" applyFill="1" applyBorder="1" applyAlignment="1" applyProtection="1">
      <alignment horizontal="center"/>
      <protection hidden="1"/>
    </xf>
    <xf numFmtId="170" fontId="114" fillId="36" borderId="15" xfId="7" applyNumberFormat="1" applyFont="1" applyFill="1" applyBorder="1" applyAlignment="1" applyProtection="1">
      <alignment horizontal="center"/>
      <protection hidden="1"/>
    </xf>
    <xf numFmtId="0" fontId="25" fillId="5" borderId="38" xfId="5" applyFont="1" applyFill="1" applyBorder="1" applyAlignment="1" applyProtection="1">
      <alignment horizontal="center" vertical="center" wrapText="1"/>
      <protection hidden="1"/>
    </xf>
    <xf numFmtId="0" fontId="25" fillId="5" borderId="39" xfId="5" applyFont="1" applyFill="1" applyBorder="1" applyAlignment="1" applyProtection="1">
      <alignment horizontal="center" vertical="center" wrapText="1"/>
      <protection hidden="1"/>
    </xf>
    <xf numFmtId="0" fontId="25" fillId="5" borderId="40" xfId="5" applyFont="1" applyFill="1" applyBorder="1" applyAlignment="1" applyProtection="1">
      <alignment horizontal="center" vertical="center" wrapText="1"/>
      <protection hidden="1"/>
    </xf>
    <xf numFmtId="0" fontId="25" fillId="5" borderId="49" xfId="5" applyFont="1" applyFill="1" applyBorder="1" applyAlignment="1" applyProtection="1">
      <alignment horizontal="center" vertical="center" wrapText="1"/>
      <protection hidden="1"/>
    </xf>
    <xf numFmtId="0" fontId="25" fillId="5" borderId="16" xfId="5" applyFont="1" applyFill="1" applyBorder="1" applyAlignment="1" applyProtection="1">
      <alignment horizontal="center" vertical="center" wrapText="1"/>
      <protection hidden="1"/>
    </xf>
    <xf numFmtId="0" fontId="25" fillId="5" borderId="29" xfId="5" applyFont="1" applyFill="1" applyBorder="1" applyAlignment="1" applyProtection="1">
      <alignment horizontal="center" vertical="center" wrapText="1"/>
      <protection hidden="1"/>
    </xf>
    <xf numFmtId="0" fontId="25" fillId="5" borderId="25" xfId="5" applyFont="1" applyFill="1" applyBorder="1" applyAlignment="1" applyProtection="1">
      <alignment horizontal="center" vertical="center" wrapText="1"/>
      <protection hidden="1"/>
    </xf>
    <xf numFmtId="170" fontId="65" fillId="62" borderId="125" xfId="5" applyNumberFormat="1" applyFont="1" applyFill="1" applyBorder="1" applyAlignment="1" applyProtection="1">
      <alignment horizontal="center" vertical="center" wrapText="1"/>
      <protection hidden="1"/>
    </xf>
    <xf numFmtId="0" fontId="114" fillId="5" borderId="139" xfId="5" applyFont="1" applyFill="1" applyBorder="1" applyAlignment="1" applyProtection="1">
      <alignment horizontal="left" vertical="center" wrapText="1"/>
      <protection hidden="1"/>
    </xf>
    <xf numFmtId="0" fontId="114" fillId="5" borderId="14" xfId="5" applyFont="1" applyFill="1" applyBorder="1" applyAlignment="1" applyProtection="1">
      <alignment horizontal="left" vertical="center" wrapText="1"/>
      <protection hidden="1"/>
    </xf>
    <xf numFmtId="170" fontId="27" fillId="15" borderId="139" xfId="7" applyNumberFormat="1" applyFont="1" applyFill="1" applyBorder="1" applyAlignment="1" applyProtection="1">
      <alignment horizontal="center" vertical="center" wrapText="1"/>
      <protection hidden="1"/>
    </xf>
    <xf numFmtId="170" fontId="27" fillId="15" borderId="14" xfId="7" applyNumberFormat="1" applyFont="1" applyFill="1" applyBorder="1" applyAlignment="1" applyProtection="1">
      <alignment horizontal="center" vertical="center" wrapText="1"/>
      <protection hidden="1"/>
    </xf>
    <xf numFmtId="170" fontId="114" fillId="5" borderId="139" xfId="7" applyNumberFormat="1" applyFont="1" applyFill="1" applyBorder="1" applyAlignment="1" applyProtection="1">
      <alignment horizontal="center" vertical="center" wrapText="1"/>
      <protection hidden="1"/>
    </xf>
    <xf numFmtId="170" fontId="114" fillId="5" borderId="14" xfId="7" applyNumberFormat="1" applyFont="1" applyFill="1" applyBorder="1" applyAlignment="1" applyProtection="1">
      <alignment horizontal="center" vertical="center" wrapText="1"/>
      <protection hidden="1"/>
    </xf>
    <xf numFmtId="170" fontId="114" fillId="5" borderId="152" xfId="2" applyNumberFormat="1" applyFont="1" applyFill="1" applyBorder="1" applyAlignment="1" applyProtection="1">
      <alignment horizontal="center" vertical="center" wrapText="1"/>
      <protection hidden="1"/>
    </xf>
    <xf numFmtId="170" fontId="114" fillId="5" borderId="24" xfId="2" applyNumberFormat="1" applyFont="1" applyFill="1" applyBorder="1" applyAlignment="1" applyProtection="1">
      <alignment horizontal="center" vertical="center" wrapText="1"/>
      <protection hidden="1"/>
    </xf>
    <xf numFmtId="170" fontId="114" fillId="5" borderId="14" xfId="2" applyNumberFormat="1" applyFont="1" applyFill="1" applyBorder="1" applyAlignment="1" applyProtection="1">
      <alignment horizontal="center" vertical="center" wrapText="1"/>
      <protection hidden="1"/>
    </xf>
    <xf numFmtId="0" fontId="108" fillId="5" borderId="49" xfId="5" applyFont="1" applyFill="1" applyBorder="1" applyAlignment="1" applyProtection="1">
      <alignment horizontal="center" vertical="center" wrapText="1"/>
      <protection hidden="1"/>
    </xf>
    <xf numFmtId="0" fontId="108" fillId="5" borderId="16" xfId="5" applyFont="1" applyFill="1" applyBorder="1" applyAlignment="1" applyProtection="1">
      <alignment horizontal="center" vertical="center" wrapText="1"/>
      <protection hidden="1"/>
    </xf>
    <xf numFmtId="0" fontId="108" fillId="5" borderId="25" xfId="5" applyFont="1" applyFill="1" applyBorder="1" applyAlignment="1" applyProtection="1">
      <alignment horizontal="center" vertical="center" wrapText="1"/>
      <protection hidden="1"/>
    </xf>
    <xf numFmtId="0" fontId="108" fillId="5" borderId="154" xfId="5" applyFont="1" applyFill="1" applyBorder="1" applyAlignment="1" applyProtection="1">
      <alignment horizontal="center" vertical="center" wrapText="1"/>
      <protection hidden="1"/>
    </xf>
    <xf numFmtId="0" fontId="108" fillId="5" borderId="125" xfId="5" applyFont="1" applyFill="1" applyBorder="1" applyAlignment="1" applyProtection="1">
      <alignment horizontal="center" vertical="center" wrapText="1"/>
      <protection hidden="1"/>
    </xf>
    <xf numFmtId="0" fontId="108" fillId="5" borderId="127" xfId="5" applyFont="1" applyFill="1" applyBorder="1" applyAlignment="1" applyProtection="1">
      <alignment horizontal="center" vertical="center" wrapText="1"/>
      <protection hidden="1"/>
    </xf>
    <xf numFmtId="170" fontId="114" fillId="36" borderId="139" xfId="7" applyNumberFormat="1" applyFont="1" applyFill="1" applyBorder="1" applyAlignment="1" applyProtection="1">
      <alignment horizontal="center" vertical="center"/>
      <protection hidden="1"/>
    </xf>
    <xf numFmtId="170" fontId="114" fillId="36" borderId="14" xfId="7" applyNumberFormat="1" applyFont="1" applyFill="1" applyBorder="1" applyAlignment="1" applyProtection="1">
      <alignment horizontal="center" vertical="center"/>
      <protection hidden="1"/>
    </xf>
    <xf numFmtId="9" fontId="108" fillId="15" borderId="100" xfId="5" applyNumberFormat="1" applyFont="1" applyFill="1" applyBorder="1" applyAlignment="1" applyProtection="1">
      <alignment horizontal="center" vertical="center" wrapText="1"/>
      <protection hidden="1"/>
    </xf>
    <xf numFmtId="9" fontId="108" fillId="15" borderId="0" xfId="5" applyNumberFormat="1" applyFont="1" applyFill="1" applyAlignment="1" applyProtection="1">
      <alignment horizontal="center" vertical="center" wrapText="1"/>
      <protection hidden="1"/>
    </xf>
    <xf numFmtId="9" fontId="108" fillId="15" borderId="2" xfId="5" applyNumberFormat="1" applyFont="1" applyFill="1" applyBorder="1" applyAlignment="1" applyProtection="1">
      <alignment horizontal="center" vertical="center" wrapText="1"/>
      <protection hidden="1"/>
    </xf>
    <xf numFmtId="0" fontId="108" fillId="14" borderId="19" xfId="5" applyFont="1" applyFill="1" applyBorder="1" applyAlignment="1" applyProtection="1">
      <alignment horizontal="center" vertical="center" wrapText="1"/>
      <protection hidden="1"/>
    </xf>
    <xf numFmtId="0" fontId="131" fillId="14" borderId="19" xfId="5" applyFont="1" applyFill="1" applyBorder="1" applyAlignment="1" applyProtection="1">
      <alignment horizontal="center" vertical="center" wrapText="1"/>
      <protection hidden="1"/>
    </xf>
    <xf numFmtId="170" fontId="114" fillId="5" borderId="7" xfId="7" applyNumberFormat="1" applyFont="1" applyFill="1" applyBorder="1" applyAlignment="1" applyProtection="1">
      <alignment horizontal="center" vertical="center" wrapText="1"/>
      <protection hidden="1"/>
    </xf>
    <xf numFmtId="10" fontId="114" fillId="36" borderId="7" xfId="7" applyNumberFormat="1" applyFont="1" applyFill="1" applyBorder="1" applyAlignment="1" applyProtection="1">
      <alignment horizontal="center" vertical="center"/>
      <protection hidden="1"/>
    </xf>
    <xf numFmtId="10" fontId="114" fillId="36" borderId="14" xfId="7" applyNumberFormat="1" applyFont="1" applyFill="1" applyBorder="1" applyAlignment="1" applyProtection="1">
      <alignment horizontal="center" vertical="center"/>
      <protection hidden="1"/>
    </xf>
    <xf numFmtId="10" fontId="114" fillId="36" borderId="8" xfId="7" applyNumberFormat="1" applyFont="1" applyFill="1" applyBorder="1" applyAlignment="1" applyProtection="1">
      <alignment horizontal="center"/>
      <protection hidden="1"/>
    </xf>
    <xf numFmtId="10" fontId="114" fillId="36" borderId="15" xfId="7" applyNumberFormat="1" applyFont="1" applyFill="1" applyBorder="1" applyAlignment="1" applyProtection="1">
      <alignment horizontal="center"/>
      <protection hidden="1"/>
    </xf>
    <xf numFmtId="9" fontId="108" fillId="15" borderId="151" xfId="5" applyNumberFormat="1" applyFont="1" applyFill="1" applyBorder="1" applyAlignment="1" applyProtection="1">
      <alignment horizontal="center" vertical="center" wrapText="1"/>
      <protection hidden="1"/>
    </xf>
    <xf numFmtId="9" fontId="108" fillId="15" borderId="46" xfId="5" applyNumberFormat="1" applyFont="1" applyFill="1" applyBorder="1" applyAlignment="1" applyProtection="1">
      <alignment horizontal="center" vertical="center" wrapText="1"/>
      <protection hidden="1"/>
    </xf>
    <xf numFmtId="170" fontId="108" fillId="15" borderId="152" xfId="7" applyNumberFormat="1" applyFont="1" applyFill="1" applyBorder="1" applyAlignment="1" applyProtection="1">
      <alignment horizontal="center" vertical="center"/>
      <protection hidden="1"/>
    </xf>
    <xf numFmtId="170" fontId="108" fillId="15" borderId="14" xfId="7" applyNumberFormat="1" applyFont="1" applyFill="1" applyBorder="1" applyAlignment="1" applyProtection="1">
      <alignment horizontal="center" vertical="center"/>
      <protection hidden="1"/>
    </xf>
    <xf numFmtId="170" fontId="108" fillId="15" borderId="28" xfId="7" applyNumberFormat="1" applyFont="1" applyFill="1" applyBorder="1" applyAlignment="1" applyProtection="1">
      <alignment horizontal="center" vertical="center"/>
      <protection hidden="1"/>
    </xf>
    <xf numFmtId="170" fontId="108" fillId="15" borderId="15" xfId="7" applyNumberFormat="1" applyFont="1" applyFill="1" applyBorder="1" applyAlignment="1" applyProtection="1">
      <alignment horizontal="center" vertical="center"/>
      <protection hidden="1"/>
    </xf>
    <xf numFmtId="170" fontId="27" fillId="15" borderId="38" xfId="7" applyNumberFormat="1" applyFont="1" applyFill="1" applyBorder="1" applyAlignment="1" applyProtection="1">
      <alignment horizontal="center" vertical="center" wrapText="1"/>
      <protection hidden="1"/>
    </xf>
    <xf numFmtId="170" fontId="27" fillId="15" borderId="154" xfId="7" applyNumberFormat="1" applyFont="1" applyFill="1" applyBorder="1" applyAlignment="1" applyProtection="1">
      <alignment horizontal="center" vertical="center" wrapText="1"/>
      <protection hidden="1"/>
    </xf>
    <xf numFmtId="170" fontId="27" fillId="15" borderId="28" xfId="7" applyNumberFormat="1" applyFont="1" applyFill="1" applyBorder="1" applyAlignment="1" applyProtection="1">
      <alignment horizontal="center" vertical="center" wrapText="1"/>
      <protection hidden="1"/>
    </xf>
    <xf numFmtId="170" fontId="27" fillId="15" borderId="15" xfId="7" applyNumberFormat="1" applyFont="1" applyFill="1" applyBorder="1" applyAlignment="1" applyProtection="1">
      <alignment horizontal="center" vertical="center" wrapText="1"/>
      <protection hidden="1"/>
    </xf>
    <xf numFmtId="170" fontId="27" fillId="15" borderId="130" xfId="7" applyNumberFormat="1" applyFont="1" applyFill="1" applyBorder="1" applyAlignment="1" applyProtection="1">
      <alignment horizontal="center" vertical="center" wrapText="1"/>
      <protection hidden="1"/>
    </xf>
    <xf numFmtId="170" fontId="114" fillId="15" borderId="155" xfId="7" applyNumberFormat="1" applyFont="1" applyFill="1" applyBorder="1" applyAlignment="1" applyProtection="1">
      <alignment horizontal="center" vertical="center" wrapText="1"/>
      <protection hidden="1"/>
    </xf>
    <xf numFmtId="170" fontId="114" fillId="15" borderId="39" xfId="7" applyNumberFormat="1" applyFont="1" applyFill="1" applyBorder="1" applyAlignment="1" applyProtection="1">
      <alignment horizontal="center" vertical="center" wrapText="1"/>
      <protection hidden="1"/>
    </xf>
    <xf numFmtId="170" fontId="114" fillId="15" borderId="154" xfId="7" applyNumberFormat="1" applyFont="1" applyFill="1" applyBorder="1" applyAlignment="1" applyProtection="1">
      <alignment horizontal="center" vertical="center" wrapText="1"/>
      <protection hidden="1"/>
    </xf>
    <xf numFmtId="0" fontId="66" fillId="0" borderId="9"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wrapText="1"/>
      <protection hidden="1"/>
    </xf>
    <xf numFmtId="0" fontId="108" fillId="5" borderId="140" xfId="5" applyFont="1" applyFill="1" applyBorder="1" applyAlignment="1" applyProtection="1">
      <alignment horizontal="center" vertical="center" wrapText="1"/>
      <protection hidden="1"/>
    </xf>
    <xf numFmtId="0" fontId="108" fillId="5" borderId="141" xfId="5" applyFont="1" applyFill="1" applyBorder="1" applyAlignment="1" applyProtection="1">
      <alignment horizontal="center" vertical="center" wrapText="1"/>
      <protection hidden="1"/>
    </xf>
    <xf numFmtId="0" fontId="108" fillId="5" borderId="31" xfId="5" applyFont="1" applyFill="1" applyBorder="1" applyAlignment="1" applyProtection="1">
      <alignment horizontal="center" vertical="center" wrapText="1"/>
      <protection hidden="1"/>
    </xf>
    <xf numFmtId="0" fontId="108" fillId="5" borderId="35" xfId="5" applyFont="1" applyFill="1" applyBorder="1" applyAlignment="1" applyProtection="1">
      <alignment horizontal="center" vertical="center" wrapText="1"/>
      <protection hidden="1"/>
    </xf>
    <xf numFmtId="9" fontId="108" fillId="15" borderId="139" xfId="7" applyFont="1" applyFill="1" applyBorder="1" applyAlignment="1" applyProtection="1">
      <alignment horizontal="center" vertical="center" wrapText="1"/>
      <protection hidden="1"/>
    </xf>
    <xf numFmtId="9" fontId="108" fillId="15" borderId="14" xfId="7" applyFont="1" applyFill="1" applyBorder="1" applyAlignment="1" applyProtection="1">
      <alignment horizontal="center" vertical="center" wrapText="1"/>
      <protection hidden="1"/>
    </xf>
    <xf numFmtId="170" fontId="108" fillId="15" borderId="139" xfId="7" applyNumberFormat="1" applyFont="1" applyFill="1" applyBorder="1" applyAlignment="1" applyProtection="1">
      <alignment horizontal="center" vertical="center"/>
      <protection hidden="1"/>
    </xf>
    <xf numFmtId="0" fontId="114" fillId="15" borderId="45" xfId="5" applyFont="1" applyFill="1" applyBorder="1" applyAlignment="1" applyProtection="1">
      <alignment horizontal="center" vertical="center" wrapText="1"/>
      <protection hidden="1"/>
    </xf>
    <xf numFmtId="0" fontId="114" fillId="15" borderId="46" xfId="5" applyFont="1" applyFill="1" applyBorder="1" applyAlignment="1" applyProtection="1">
      <alignment horizontal="center" vertical="center" wrapText="1"/>
      <protection hidden="1"/>
    </xf>
    <xf numFmtId="0" fontId="114" fillId="15" borderId="164" xfId="5" applyFont="1" applyFill="1" applyBorder="1" applyAlignment="1" applyProtection="1">
      <alignment horizontal="center" vertical="center" wrapText="1"/>
      <protection hidden="1"/>
    </xf>
    <xf numFmtId="0" fontId="114" fillId="15" borderId="165" xfId="5" applyFont="1" applyFill="1" applyBorder="1" applyAlignment="1" applyProtection="1">
      <alignment horizontal="center" vertical="center" wrapText="1"/>
      <protection hidden="1"/>
    </xf>
    <xf numFmtId="10" fontId="114" fillId="36" borderId="28" xfId="7" applyNumberFormat="1" applyFont="1" applyFill="1" applyBorder="1" applyAlignment="1" applyProtection="1">
      <alignment horizontal="center"/>
      <protection hidden="1"/>
    </xf>
    <xf numFmtId="170" fontId="27" fillId="15" borderId="158" xfId="2" applyNumberFormat="1" applyFont="1" applyFill="1" applyBorder="1" applyAlignment="1" applyProtection="1">
      <alignment horizontal="center" vertical="center" wrapText="1"/>
      <protection hidden="1"/>
    </xf>
    <xf numFmtId="170" fontId="27" fillId="15" borderId="163" xfId="2" applyNumberFormat="1" applyFont="1" applyFill="1" applyBorder="1" applyAlignment="1" applyProtection="1">
      <alignment horizontal="center" vertical="center" wrapText="1"/>
      <protection hidden="1"/>
    </xf>
    <xf numFmtId="170" fontId="114" fillId="15" borderId="24" xfId="2" applyNumberFormat="1" applyFont="1" applyFill="1" applyBorder="1" applyAlignment="1" applyProtection="1">
      <alignment horizontal="center" vertical="center" wrapText="1"/>
      <protection hidden="1"/>
    </xf>
    <xf numFmtId="170" fontId="114" fillId="15" borderId="14" xfId="2" applyNumberFormat="1" applyFont="1" applyFill="1" applyBorder="1" applyAlignment="1" applyProtection="1">
      <alignment horizontal="center" vertical="center" wrapText="1"/>
      <protection hidden="1"/>
    </xf>
    <xf numFmtId="0" fontId="35" fillId="0" borderId="155" xfId="0" applyFont="1" applyBorder="1" applyAlignment="1" applyProtection="1">
      <alignment horizontal="center" vertical="center" wrapText="1"/>
      <protection hidden="1"/>
    </xf>
    <xf numFmtId="0" fontId="35" fillId="0" borderId="154" xfId="0" applyFont="1" applyBorder="1" applyAlignment="1" applyProtection="1">
      <alignment horizontal="center" vertical="center" wrapText="1"/>
      <protection hidden="1"/>
    </xf>
    <xf numFmtId="0" fontId="25" fillId="5" borderId="121" xfId="5" applyFont="1" applyFill="1" applyBorder="1" applyAlignment="1" applyProtection="1">
      <alignment horizontal="center" vertical="center" wrapText="1"/>
      <protection hidden="1"/>
    </xf>
    <xf numFmtId="0" fontId="25" fillId="5" borderId="125" xfId="5" applyFont="1" applyFill="1" applyBorder="1" applyAlignment="1" applyProtection="1">
      <alignment horizontal="center" vertical="center" wrapText="1"/>
      <protection hidden="1"/>
    </xf>
    <xf numFmtId="0" fontId="25" fillId="5" borderId="127" xfId="5" applyFont="1" applyFill="1" applyBorder="1" applyAlignment="1" applyProtection="1">
      <alignment horizontal="center" vertical="center" wrapText="1"/>
      <protection hidden="1"/>
    </xf>
    <xf numFmtId="0" fontId="47" fillId="0" borderId="0" xfId="5" applyFont="1" applyAlignment="1" applyProtection="1">
      <alignment horizontal="center"/>
      <protection locked="0"/>
    </xf>
    <xf numFmtId="0" fontId="25" fillId="0" borderId="4"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08" fillId="36" borderId="166" xfId="5" applyFont="1" applyFill="1" applyBorder="1" applyAlignment="1" applyProtection="1">
      <alignment horizontal="center" vertical="center" wrapText="1"/>
      <protection hidden="1"/>
    </xf>
    <xf numFmtId="167" fontId="170" fillId="10" borderId="97" xfId="24" applyNumberFormat="1" applyFont="1" applyFill="1" applyBorder="1" applyAlignment="1" applyProtection="1">
      <alignment horizontal="center" vertical="center"/>
      <protection hidden="1"/>
    </xf>
    <xf numFmtId="167" fontId="170" fillId="10" borderId="98" xfId="24" applyNumberFormat="1" applyFont="1" applyFill="1" applyBorder="1" applyAlignment="1" applyProtection="1">
      <alignment horizontal="center" vertical="center"/>
      <protection hidden="1"/>
    </xf>
    <xf numFmtId="167" fontId="170" fillId="10" borderId="5" xfId="24" applyNumberFormat="1" applyFont="1" applyFill="1" applyBorder="1" applyAlignment="1" applyProtection="1">
      <alignment horizontal="center" vertical="center"/>
      <protection hidden="1"/>
    </xf>
    <xf numFmtId="170" fontId="28" fillId="15" borderId="26" xfId="7" applyNumberFormat="1" applyFont="1" applyFill="1" applyBorder="1" applyAlignment="1" applyProtection="1">
      <alignment horizontal="center" vertical="center" wrapText="1"/>
      <protection hidden="1"/>
    </xf>
    <xf numFmtId="170" fontId="27" fillId="15" borderId="8" xfId="7" applyNumberFormat="1" applyFont="1" applyFill="1" applyBorder="1" applyAlignment="1" applyProtection="1">
      <alignment horizontal="center" vertical="center" wrapText="1"/>
      <protection hidden="1"/>
    </xf>
    <xf numFmtId="170" fontId="28" fillId="15" borderId="28" xfId="7" applyNumberFormat="1" applyFont="1" applyFill="1" applyBorder="1" applyAlignment="1" applyProtection="1">
      <alignment horizontal="center" vertical="center" wrapText="1"/>
      <protection hidden="1"/>
    </xf>
    <xf numFmtId="170" fontId="28" fillId="15" borderId="15" xfId="7" applyNumberFormat="1" applyFont="1" applyFill="1" applyBorder="1" applyAlignment="1" applyProtection="1">
      <alignment horizontal="center" vertical="center" wrapText="1"/>
      <protection hidden="1"/>
    </xf>
    <xf numFmtId="170" fontId="114" fillId="15" borderId="28" xfId="7" applyNumberFormat="1" applyFont="1" applyFill="1" applyBorder="1" applyAlignment="1" applyProtection="1">
      <alignment horizontal="center" vertical="center" wrapText="1"/>
      <protection hidden="1"/>
    </xf>
    <xf numFmtId="170" fontId="114" fillId="15" borderId="15" xfId="7" applyNumberFormat="1" applyFont="1" applyFill="1" applyBorder="1" applyAlignment="1" applyProtection="1">
      <alignment horizontal="center" vertical="center" wrapText="1"/>
      <protection hidden="1"/>
    </xf>
    <xf numFmtId="170" fontId="188" fillId="20" borderId="19" xfId="7" applyNumberFormat="1" applyFont="1" applyFill="1" applyBorder="1" applyAlignment="1" applyProtection="1">
      <alignment horizontal="center" vertical="center"/>
      <protection hidden="1"/>
    </xf>
    <xf numFmtId="170" fontId="187" fillId="15" borderId="153" xfId="7" applyNumberFormat="1" applyFont="1" applyFill="1" applyBorder="1" applyAlignment="1" applyProtection="1">
      <alignment horizontal="center" vertical="center" wrapText="1"/>
      <protection hidden="1"/>
    </xf>
    <xf numFmtId="170" fontId="187" fillId="15" borderId="3" xfId="7" applyNumberFormat="1" applyFont="1" applyFill="1" applyBorder="1" applyAlignment="1" applyProtection="1">
      <alignment horizontal="center" vertical="center" wrapText="1"/>
      <protection hidden="1"/>
    </xf>
    <xf numFmtId="0" fontId="114" fillId="5" borderId="140" xfId="5" applyFont="1" applyFill="1" applyBorder="1" applyAlignment="1" applyProtection="1">
      <alignment horizontal="center" vertical="center" wrapText="1"/>
      <protection hidden="1"/>
    </xf>
    <xf numFmtId="0" fontId="114" fillId="5" borderId="141" xfId="5" applyFont="1" applyFill="1" applyBorder="1" applyAlignment="1" applyProtection="1">
      <alignment horizontal="center" vertical="center" wrapText="1"/>
      <protection hidden="1"/>
    </xf>
    <xf numFmtId="0" fontId="114" fillId="5" borderId="31" xfId="5" applyFont="1" applyFill="1" applyBorder="1" applyAlignment="1" applyProtection="1">
      <alignment horizontal="center" vertical="center" wrapText="1"/>
      <protection hidden="1"/>
    </xf>
    <xf numFmtId="0" fontId="114" fillId="5" borderId="35" xfId="5" applyFont="1" applyFill="1" applyBorder="1" applyAlignment="1" applyProtection="1">
      <alignment horizontal="center" vertical="center" wrapText="1"/>
      <protection hidden="1"/>
    </xf>
    <xf numFmtId="0" fontId="25" fillId="5" borderId="10" xfId="5" applyFont="1" applyFill="1" applyBorder="1" applyAlignment="1" applyProtection="1">
      <alignment horizontal="center" vertical="center" wrapText="1"/>
      <protection hidden="1"/>
    </xf>
    <xf numFmtId="9" fontId="108" fillId="15" borderId="6" xfId="5" applyNumberFormat="1" applyFont="1" applyFill="1" applyBorder="1" applyAlignment="1" applyProtection="1">
      <alignment horizontal="center" vertical="center" wrapText="1"/>
      <protection hidden="1"/>
    </xf>
    <xf numFmtId="9" fontId="108" fillId="15" borderId="35" xfId="5" applyNumberFormat="1" applyFont="1" applyFill="1" applyBorder="1" applyAlignment="1" applyProtection="1">
      <alignment horizontal="center" vertical="center" wrapText="1"/>
      <protection hidden="1"/>
    </xf>
    <xf numFmtId="9" fontId="108" fillId="5" borderId="7" xfId="5" applyNumberFormat="1" applyFont="1" applyFill="1" applyBorder="1" applyAlignment="1" applyProtection="1">
      <alignment horizontal="center" vertical="center" wrapText="1"/>
      <protection hidden="1"/>
    </xf>
    <xf numFmtId="9" fontId="108" fillId="5" borderId="24" xfId="5" applyNumberFormat="1" applyFont="1" applyFill="1" applyBorder="1" applyAlignment="1" applyProtection="1">
      <alignment horizontal="center" vertical="center" wrapText="1"/>
      <protection hidden="1"/>
    </xf>
    <xf numFmtId="9" fontId="108" fillId="5" borderId="14" xfId="5" applyNumberFormat="1" applyFont="1" applyFill="1" applyBorder="1" applyAlignment="1" applyProtection="1">
      <alignment horizontal="center" vertical="center" wrapText="1"/>
      <protection hidden="1"/>
    </xf>
    <xf numFmtId="0" fontId="114" fillId="5" borderId="124" xfId="5" applyFont="1" applyFill="1" applyBorder="1" applyAlignment="1" applyProtection="1">
      <alignment horizontal="center" vertical="center" wrapText="1"/>
      <protection hidden="1"/>
    </xf>
    <xf numFmtId="0" fontId="114" fillId="5" borderId="6" xfId="5" applyFont="1" applyFill="1" applyBorder="1" applyAlignment="1" applyProtection="1">
      <alignment horizontal="center" vertical="center" wrapText="1"/>
      <protection hidden="1"/>
    </xf>
    <xf numFmtId="0" fontId="114" fillId="5" borderId="164" xfId="5" applyFont="1" applyFill="1" applyBorder="1" applyAlignment="1" applyProtection="1">
      <alignment horizontal="center" vertical="center" wrapText="1"/>
      <protection hidden="1"/>
    </xf>
    <xf numFmtId="0" fontId="114" fillId="5" borderId="165" xfId="5" applyFont="1" applyFill="1" applyBorder="1" applyAlignment="1" applyProtection="1">
      <alignment horizontal="center" vertical="center" wrapText="1"/>
      <protection hidden="1"/>
    </xf>
    <xf numFmtId="170" fontId="114" fillId="5" borderId="7" xfId="2" applyNumberFormat="1" applyFont="1" applyFill="1" applyBorder="1" applyAlignment="1" applyProtection="1">
      <alignment horizontal="center" vertical="center" wrapText="1"/>
      <protection hidden="1"/>
    </xf>
    <xf numFmtId="170" fontId="114" fillId="5" borderId="163" xfId="2" applyNumberFormat="1" applyFont="1" applyFill="1" applyBorder="1" applyAlignment="1" applyProtection="1">
      <alignment horizontal="center" vertical="center" wrapText="1"/>
      <protection hidden="1"/>
    </xf>
    <xf numFmtId="170" fontId="27" fillId="15" borderId="152" xfId="7" applyNumberFormat="1" applyFont="1" applyFill="1" applyBorder="1" applyAlignment="1" applyProtection="1">
      <alignment horizontal="center" vertical="center" wrapText="1"/>
      <protection hidden="1"/>
    </xf>
    <xf numFmtId="170" fontId="27" fillId="15" borderId="24" xfId="7" applyNumberFormat="1" applyFont="1" applyFill="1" applyBorder="1" applyAlignment="1" applyProtection="1">
      <alignment horizontal="center" vertical="center" wrapText="1"/>
      <protection hidden="1"/>
    </xf>
    <xf numFmtId="170" fontId="114" fillId="5" borderId="28" xfId="7" applyNumberFormat="1" applyFont="1" applyFill="1" applyBorder="1" applyAlignment="1" applyProtection="1">
      <alignment horizontal="center" vertical="center" wrapText="1"/>
      <protection hidden="1"/>
    </xf>
    <xf numFmtId="170" fontId="114" fillId="5" borderId="15" xfId="7" applyNumberFormat="1" applyFont="1" applyFill="1" applyBorder="1" applyAlignment="1" applyProtection="1">
      <alignment horizontal="center" vertical="center" wrapText="1"/>
      <protection hidden="1"/>
    </xf>
    <xf numFmtId="0" fontId="108" fillId="5" borderId="45" xfId="5" applyFont="1" applyFill="1" applyBorder="1" applyAlignment="1" applyProtection="1">
      <alignment horizontal="center" vertical="center" wrapText="1"/>
      <protection hidden="1"/>
    </xf>
    <xf numFmtId="0" fontId="108" fillId="5" borderId="46" xfId="5" applyFont="1" applyFill="1" applyBorder="1" applyAlignment="1" applyProtection="1">
      <alignment horizontal="center" vertical="center" wrapText="1"/>
      <protection hidden="1"/>
    </xf>
    <xf numFmtId="9" fontId="108" fillId="15" borderId="152" xfId="7" applyFont="1" applyFill="1" applyBorder="1" applyAlignment="1" applyProtection="1">
      <alignment horizontal="center" vertical="center" wrapText="1"/>
      <protection hidden="1"/>
    </xf>
    <xf numFmtId="170" fontId="27" fillId="15" borderId="7" xfId="7" applyNumberFormat="1" applyFont="1" applyFill="1" applyBorder="1" applyAlignment="1" applyProtection="1">
      <alignment horizontal="center" vertical="center" wrapText="1"/>
      <protection hidden="1"/>
    </xf>
    <xf numFmtId="9" fontId="108" fillId="5" borderId="150" xfId="5" applyNumberFormat="1" applyFont="1" applyFill="1" applyBorder="1" applyAlignment="1" applyProtection="1">
      <alignment horizontal="center" vertical="center" wrapText="1"/>
      <protection hidden="1"/>
    </xf>
    <xf numFmtId="9" fontId="108" fillId="5" borderId="45" xfId="5" applyNumberFormat="1" applyFont="1" applyFill="1" applyBorder="1" applyAlignment="1" applyProtection="1">
      <alignment horizontal="center" vertical="center" wrapText="1"/>
      <protection hidden="1"/>
    </xf>
    <xf numFmtId="9" fontId="108" fillId="5" borderId="31" xfId="5" applyNumberFormat="1" applyFont="1" applyFill="1" applyBorder="1" applyAlignment="1" applyProtection="1">
      <alignment horizontal="center" vertical="center" wrapText="1"/>
      <protection hidden="1"/>
    </xf>
    <xf numFmtId="0" fontId="114" fillId="5" borderId="152" xfId="5" applyFont="1" applyFill="1" applyBorder="1" applyAlignment="1" applyProtection="1">
      <alignment horizontal="left" vertical="center" wrapText="1"/>
      <protection hidden="1"/>
    </xf>
    <xf numFmtId="0" fontId="114" fillId="5" borderId="24" xfId="5" applyFont="1" applyFill="1" applyBorder="1" applyAlignment="1" applyProtection="1">
      <alignment horizontal="left" vertical="center" wrapText="1"/>
      <protection hidden="1"/>
    </xf>
    <xf numFmtId="0" fontId="114" fillId="5" borderId="7" xfId="5" applyFont="1" applyFill="1" applyBorder="1" applyAlignment="1" applyProtection="1">
      <alignment horizontal="left" vertical="center" wrapText="1"/>
      <protection hidden="1"/>
    </xf>
    <xf numFmtId="170" fontId="28" fillId="15" borderId="152" xfId="7" applyNumberFormat="1" applyFont="1" applyFill="1" applyBorder="1" applyAlignment="1" applyProtection="1">
      <alignment horizontal="center" vertical="center" wrapText="1"/>
      <protection hidden="1"/>
    </xf>
    <xf numFmtId="170" fontId="28" fillId="15" borderId="47" xfId="7" applyNumberFormat="1" applyFont="1" applyFill="1" applyBorder="1" applyAlignment="1" applyProtection="1">
      <alignment horizontal="center" vertical="center" wrapText="1"/>
      <protection hidden="1"/>
    </xf>
    <xf numFmtId="170" fontId="28" fillId="15" borderId="158" xfId="7" applyNumberFormat="1" applyFont="1" applyFill="1" applyBorder="1" applyAlignment="1" applyProtection="1">
      <alignment horizontal="center" vertical="center" wrapText="1"/>
      <protection hidden="1"/>
    </xf>
    <xf numFmtId="0" fontId="108" fillId="14" borderId="8" xfId="34" applyFont="1" applyFill="1" applyBorder="1" applyAlignment="1" applyProtection="1">
      <alignment horizontal="center" vertical="center" wrapText="1"/>
      <protection hidden="1"/>
    </xf>
    <xf numFmtId="0" fontId="108" fillId="14" borderId="130" xfId="34" applyFont="1" applyFill="1" applyBorder="1" applyAlignment="1" applyProtection="1">
      <alignment horizontal="center" vertical="center" wrapText="1"/>
      <protection hidden="1"/>
    </xf>
    <xf numFmtId="0" fontId="108" fillId="14" borderId="126" xfId="34" applyFont="1" applyFill="1" applyBorder="1" applyAlignment="1" applyProtection="1">
      <alignment horizontal="center" vertical="center" wrapText="1"/>
      <protection hidden="1"/>
    </xf>
    <xf numFmtId="0" fontId="0" fillId="0" borderId="10"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16" xfId="0" applyBorder="1" applyAlignment="1" applyProtection="1">
      <alignment horizontal="center"/>
      <protection hidden="1"/>
    </xf>
    <xf numFmtId="0" fontId="135" fillId="0" borderId="0" xfId="5" applyFont="1" applyAlignment="1" applyProtection="1">
      <alignment horizontal="center" vertical="center" wrapText="1"/>
      <protection hidden="1"/>
    </xf>
    <xf numFmtId="0" fontId="14" fillId="0" borderId="33" xfId="0" applyFont="1" applyBorder="1" applyAlignment="1" applyProtection="1">
      <alignment horizontal="left" vertical="center"/>
      <protection hidden="1"/>
    </xf>
    <xf numFmtId="41" fontId="14" fillId="0" borderId="13" xfId="0" applyNumberFormat="1"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14" fontId="14" fillId="0" borderId="13" xfId="0" applyNumberFormat="1" applyFont="1" applyBorder="1" applyAlignment="1" applyProtection="1">
      <alignment horizontal="left" vertical="center"/>
      <protection locked="0"/>
    </xf>
    <xf numFmtId="0" fontId="108" fillId="14" borderId="51" xfId="34" applyFont="1" applyFill="1" applyBorder="1" applyAlignment="1" applyProtection="1">
      <alignment horizontal="center" vertical="center" wrapText="1"/>
      <protection hidden="1"/>
    </xf>
    <xf numFmtId="0" fontId="108" fillId="14" borderId="38" xfId="34" applyFont="1" applyFill="1" applyBorder="1" applyAlignment="1" applyProtection="1">
      <alignment horizontal="center" vertical="center" wrapText="1"/>
      <protection hidden="1"/>
    </xf>
    <xf numFmtId="0" fontId="108" fillId="14" borderId="39" xfId="34" applyFont="1" applyFill="1" applyBorder="1" applyAlignment="1" applyProtection="1">
      <alignment horizontal="center" vertical="center" wrapText="1"/>
      <protection hidden="1"/>
    </xf>
    <xf numFmtId="0" fontId="108" fillId="14" borderId="40" xfId="34" applyFont="1" applyFill="1" applyBorder="1" applyAlignment="1" applyProtection="1">
      <alignment horizontal="center" vertical="center" wrapText="1"/>
      <protection hidden="1"/>
    </xf>
    <xf numFmtId="0" fontId="108" fillId="14" borderId="46" xfId="34" applyFont="1" applyFill="1" applyBorder="1" applyAlignment="1" applyProtection="1">
      <alignment horizontal="center" vertical="center" wrapText="1"/>
      <protection hidden="1"/>
    </xf>
    <xf numFmtId="0" fontId="108" fillId="14" borderId="45" xfId="34" applyFont="1" applyFill="1" applyBorder="1" applyAlignment="1" applyProtection="1">
      <alignment horizontal="center" vertical="center" wrapText="1"/>
      <protection hidden="1"/>
    </xf>
    <xf numFmtId="0" fontId="108" fillId="14" borderId="122" xfId="34" applyFont="1" applyFill="1" applyBorder="1" applyAlignment="1" applyProtection="1">
      <alignment horizontal="center" vertical="center" wrapText="1"/>
      <protection hidden="1"/>
    </xf>
    <xf numFmtId="0" fontId="108" fillId="14" borderId="138" xfId="34" applyFont="1" applyFill="1" applyBorder="1" applyAlignment="1" applyProtection="1">
      <alignment horizontal="center" vertical="center" wrapText="1"/>
      <protection hidden="1"/>
    </xf>
    <xf numFmtId="0" fontId="108" fillId="14" borderId="24" xfId="34" applyFont="1" applyFill="1" applyBorder="1" applyAlignment="1" applyProtection="1">
      <alignment horizontal="center" vertical="center" wrapText="1"/>
      <protection hidden="1"/>
    </xf>
    <xf numFmtId="0" fontId="28" fillId="14" borderId="11" xfId="34" applyFont="1" applyFill="1" applyBorder="1" applyAlignment="1" applyProtection="1">
      <alignment horizontal="center" vertical="center"/>
      <protection hidden="1"/>
    </xf>
    <xf numFmtId="0" fontId="28" fillId="14" borderId="27" xfId="34" applyFont="1" applyFill="1" applyBorder="1" applyAlignment="1" applyProtection="1">
      <alignment horizontal="center" vertical="center"/>
      <protection hidden="1"/>
    </xf>
    <xf numFmtId="0" fontId="135" fillId="0" borderId="45" xfId="0" applyFont="1" applyBorder="1" applyAlignment="1">
      <alignment horizontal="center" vertical="center"/>
    </xf>
    <xf numFmtId="0" fontId="135" fillId="0" borderId="0" xfId="0" applyFont="1" applyAlignment="1">
      <alignment horizontal="center" vertical="center"/>
    </xf>
    <xf numFmtId="0" fontId="135" fillId="0" borderId="31" xfId="0" applyFont="1" applyBorder="1" applyAlignment="1">
      <alignment horizontal="center" vertical="center"/>
    </xf>
    <xf numFmtId="0" fontId="135" fillId="0" borderId="33" xfId="0" applyFont="1" applyBorder="1" applyAlignment="1">
      <alignment horizontal="center" vertical="center"/>
    </xf>
    <xf numFmtId="0" fontId="108" fillId="14" borderId="158" xfId="34" applyFont="1" applyFill="1" applyBorder="1" applyAlignment="1" applyProtection="1">
      <alignment horizontal="center" vertical="center"/>
      <protection hidden="1"/>
    </xf>
    <xf numFmtId="0" fontId="108" fillId="14" borderId="47" xfId="34" applyFont="1" applyFill="1" applyBorder="1" applyAlignment="1" applyProtection="1">
      <alignment horizontal="center" vertical="center"/>
      <protection hidden="1"/>
    </xf>
    <xf numFmtId="0" fontId="108" fillId="14" borderId="28" xfId="34" applyFont="1" applyFill="1" applyBorder="1" applyAlignment="1" applyProtection="1">
      <alignment horizontal="center" vertical="center"/>
      <protection hidden="1"/>
    </xf>
    <xf numFmtId="0" fontId="108" fillId="14" borderId="126" xfId="34" applyFont="1" applyFill="1" applyBorder="1" applyAlignment="1" applyProtection="1">
      <alignment horizontal="center" vertical="center"/>
      <protection hidden="1"/>
    </xf>
    <xf numFmtId="0" fontId="18" fillId="61" borderId="4" xfId="0" applyFont="1" applyFill="1" applyBorder="1" applyAlignment="1">
      <alignment horizontal="left" vertical="center"/>
    </xf>
    <xf numFmtId="0" fontId="0" fillId="21" borderId="4" xfId="0" applyFill="1" applyBorder="1" applyAlignment="1">
      <alignment horizontal="left" vertical="center"/>
    </xf>
    <xf numFmtId="0" fontId="0" fillId="20" borderId="4" xfId="0" applyFill="1" applyBorder="1" applyAlignment="1">
      <alignment horizontal="left" vertical="center"/>
    </xf>
    <xf numFmtId="0" fontId="0" fillId="62" borderId="4" xfId="0" applyFill="1" applyBorder="1" applyAlignment="1">
      <alignment horizontal="left" vertical="center"/>
    </xf>
    <xf numFmtId="0" fontId="108" fillId="5" borderId="136" xfId="5" applyFont="1" applyFill="1" applyBorder="1" applyAlignment="1" applyProtection="1">
      <alignment horizontal="center" vertical="center" wrapText="1"/>
      <protection hidden="1"/>
    </xf>
    <xf numFmtId="0" fontId="108" fillId="5" borderId="18" xfId="5" applyFont="1" applyFill="1" applyBorder="1" applyAlignment="1" applyProtection="1">
      <alignment horizontal="center" vertical="center" wrapText="1"/>
      <protection hidden="1"/>
    </xf>
    <xf numFmtId="0" fontId="108" fillId="5" borderId="149" xfId="5" applyFont="1" applyFill="1" applyBorder="1" applyAlignment="1" applyProtection="1">
      <alignment horizontal="center" vertical="center" wrapText="1"/>
      <protection hidden="1"/>
    </xf>
    <xf numFmtId="0" fontId="108" fillId="5" borderId="151" xfId="5" applyFont="1" applyFill="1" applyBorder="1" applyAlignment="1" applyProtection="1">
      <alignment horizontal="center" vertical="center" wrapText="1"/>
      <protection hidden="1"/>
    </xf>
    <xf numFmtId="0" fontId="108" fillId="5" borderId="2" xfId="5" applyFont="1" applyFill="1" applyBorder="1" applyAlignment="1" applyProtection="1">
      <alignment horizontal="center" vertical="center" wrapText="1"/>
      <protection hidden="1"/>
    </xf>
    <xf numFmtId="0" fontId="108" fillId="5" borderId="138" xfId="5" applyFont="1" applyFill="1" applyBorder="1" applyAlignment="1" applyProtection="1">
      <alignment horizontal="center" vertical="center" wrapText="1"/>
      <protection hidden="1"/>
    </xf>
    <xf numFmtId="9" fontId="28" fillId="15" borderId="151" xfId="7" applyFont="1" applyFill="1" applyBorder="1" applyAlignment="1" applyProtection="1">
      <alignment horizontal="center" vertical="center" wrapText="1"/>
      <protection hidden="1"/>
    </xf>
    <xf numFmtId="9" fontId="28" fillId="15" borderId="138" xfId="7" applyFont="1" applyFill="1" applyBorder="1" applyAlignment="1" applyProtection="1">
      <alignment horizontal="center" vertical="center" wrapText="1"/>
      <protection hidden="1"/>
    </xf>
    <xf numFmtId="0" fontId="1" fillId="0" borderId="0" xfId="5" applyFont="1" applyAlignment="1" applyProtection="1">
      <alignment horizontal="center" vertical="center"/>
      <protection locked="0"/>
    </xf>
    <xf numFmtId="0" fontId="20" fillId="0" borderId="0" xfId="5" applyFont="1" applyAlignment="1" applyProtection="1">
      <alignment horizontal="center" vertical="center"/>
      <protection locked="0"/>
    </xf>
    <xf numFmtId="14" fontId="1" fillId="0" borderId="0" xfId="5" applyNumberFormat="1" applyFont="1" applyAlignment="1" applyProtection="1">
      <alignment horizontal="center" vertical="center"/>
      <protection locked="0"/>
    </xf>
    <xf numFmtId="0" fontId="19" fillId="20" borderId="4" xfId="0" applyFont="1" applyFill="1" applyBorder="1" applyAlignment="1" applyProtection="1">
      <alignment horizontal="center"/>
      <protection hidden="1"/>
    </xf>
    <xf numFmtId="0" fontId="14" fillId="0" borderId="38" xfId="0" applyFont="1" applyBorder="1" applyAlignment="1" applyProtection="1">
      <alignment horizontal="left" vertical="center"/>
      <protection locked="0"/>
    </xf>
    <xf numFmtId="0" fontId="14" fillId="0" borderId="39" xfId="0" applyFont="1" applyBorder="1" applyAlignment="1" applyProtection="1">
      <alignment horizontal="left" vertical="center"/>
      <protection locked="0"/>
    </xf>
    <xf numFmtId="0" fontId="14" fillId="0" borderId="40" xfId="0" applyFont="1" applyBorder="1" applyAlignment="1" applyProtection="1">
      <alignment horizontal="left" vertical="center"/>
      <protection locked="0"/>
    </xf>
    <xf numFmtId="0" fontId="14" fillId="0" borderId="97" xfId="0" applyFont="1" applyBorder="1" applyAlignment="1" applyProtection="1">
      <alignment horizontal="left" vertical="center"/>
      <protection locked="0"/>
    </xf>
    <xf numFmtId="0" fontId="14" fillId="0" borderId="98"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25" fillId="0" borderId="93" xfId="0" applyFont="1" applyBorder="1" applyAlignment="1" applyProtection="1">
      <alignment horizontal="left" vertical="center"/>
      <protection locked="0"/>
    </xf>
    <xf numFmtId="0" fontId="25" fillId="0" borderId="14" xfId="0" applyFont="1" applyBorder="1" applyAlignment="1" applyProtection="1">
      <alignment horizontal="left" vertical="center"/>
      <protection locked="0"/>
    </xf>
    <xf numFmtId="0" fontId="14" fillId="0" borderId="94" xfId="0" applyFont="1" applyBorder="1" applyAlignment="1" applyProtection="1">
      <alignment horizontal="center"/>
      <protection locked="0"/>
    </xf>
    <xf numFmtId="0" fontId="14" fillId="0" borderId="95" xfId="0" applyFont="1" applyBorder="1" applyAlignment="1" applyProtection="1">
      <alignment horizontal="center"/>
      <protection locked="0"/>
    </xf>
    <xf numFmtId="0" fontId="14" fillId="0" borderId="96" xfId="0" applyFont="1" applyBorder="1" applyAlignment="1" applyProtection="1">
      <alignment horizontal="center"/>
      <protection locked="0"/>
    </xf>
    <xf numFmtId="0" fontId="14" fillId="0" borderId="31" xfId="0" applyFont="1" applyBorder="1" applyAlignment="1" applyProtection="1">
      <alignment horizontal="center"/>
      <protection locked="0"/>
    </xf>
    <xf numFmtId="0" fontId="14" fillId="0" borderId="33" xfId="0" applyFont="1" applyBorder="1" applyAlignment="1" applyProtection="1">
      <alignment horizontal="center"/>
      <protection locked="0"/>
    </xf>
    <xf numFmtId="0" fontId="14" fillId="0" borderId="35" xfId="0" applyFont="1" applyBorder="1" applyAlignment="1" applyProtection="1">
      <alignment horizontal="center"/>
      <protection locked="0"/>
    </xf>
    <xf numFmtId="0" fontId="113" fillId="20" borderId="0" xfId="0" applyFont="1" applyFill="1" applyAlignment="1" applyProtection="1">
      <alignment horizontal="center" vertical="center" wrapText="1"/>
      <protection hidden="1"/>
    </xf>
    <xf numFmtId="0" fontId="22" fillId="0" borderId="0" xfId="0" applyFont="1" applyAlignment="1" applyProtection="1">
      <alignment horizontal="left" vertical="center"/>
      <protection hidden="1"/>
    </xf>
    <xf numFmtId="41" fontId="14" fillId="0" borderId="13" xfId="19" applyFont="1" applyBorder="1" applyAlignment="1" applyProtection="1">
      <alignment horizontal="left"/>
      <protection hidden="1"/>
    </xf>
    <xf numFmtId="0" fontId="14" fillId="0" borderId="171" xfId="0" applyFont="1" applyBorder="1" applyAlignment="1">
      <alignment horizontal="center"/>
    </xf>
    <xf numFmtId="0" fontId="14" fillId="0" borderId="163" xfId="0" applyFont="1" applyBorder="1" applyAlignment="1">
      <alignment horizontal="center"/>
    </xf>
    <xf numFmtId="0" fontId="11" fillId="0" borderId="0" xfId="0" applyFont="1" applyAlignment="1" applyProtection="1">
      <alignment horizontal="center"/>
      <protection hidden="1"/>
    </xf>
    <xf numFmtId="41" fontId="14" fillId="0" borderId="13" xfId="19" applyFont="1" applyBorder="1" applyAlignment="1" applyProtection="1">
      <alignment horizontal="left" vertical="center" wrapText="1"/>
      <protection hidden="1"/>
    </xf>
    <xf numFmtId="0" fontId="11" fillId="0" borderId="156" xfId="0" applyFont="1" applyBorder="1" applyAlignment="1" applyProtection="1">
      <alignment horizontal="center" vertical="center" wrapText="1"/>
      <protection hidden="1"/>
    </xf>
    <xf numFmtId="0" fontId="11" fillId="0" borderId="160" xfId="0" applyFont="1" applyBorder="1" applyAlignment="1" applyProtection="1">
      <alignment horizontal="center" vertical="center" wrapText="1"/>
      <protection hidden="1"/>
    </xf>
    <xf numFmtId="0" fontId="11" fillId="0" borderId="159" xfId="0" applyFont="1" applyBorder="1" applyAlignment="1" applyProtection="1">
      <alignment horizontal="center" vertical="center" wrapText="1"/>
      <protection hidden="1"/>
    </xf>
    <xf numFmtId="0" fontId="11" fillId="0" borderId="31" xfId="0" applyFont="1" applyBorder="1" applyAlignment="1" applyProtection="1">
      <alignment horizontal="center" vertical="center" wrapText="1"/>
      <protection hidden="1"/>
    </xf>
    <xf numFmtId="0" fontId="11" fillId="0" borderId="33"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hidden="1"/>
    </xf>
    <xf numFmtId="0" fontId="14" fillId="0" borderId="38"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19" fillId="20" borderId="31" xfId="0" applyFont="1" applyFill="1" applyBorder="1" applyAlignment="1" applyProtection="1">
      <alignment horizontal="center"/>
      <protection hidden="1"/>
    </xf>
    <xf numFmtId="0" fontId="19" fillId="20" borderId="33" xfId="0" applyFont="1" applyFill="1" applyBorder="1" applyAlignment="1" applyProtection="1">
      <alignment horizontal="center"/>
      <protection hidden="1"/>
    </xf>
    <xf numFmtId="177" fontId="14" fillId="0" borderId="33" xfId="17" applyNumberFormat="1" applyFont="1" applyBorder="1" applyAlignment="1" applyProtection="1">
      <alignment vertical="center"/>
      <protection hidden="1"/>
    </xf>
    <xf numFmtId="177" fontId="14" fillId="0" borderId="13" xfId="17" applyNumberFormat="1" applyFont="1" applyBorder="1" applyAlignment="1" applyProtection="1">
      <alignment horizontal="left"/>
      <protection hidden="1"/>
    </xf>
    <xf numFmtId="0" fontId="14" fillId="0" borderId="158" xfId="0" applyFont="1" applyBorder="1" applyAlignment="1">
      <alignment horizontal="center"/>
    </xf>
    <xf numFmtId="0" fontId="14" fillId="0" borderId="14" xfId="0" applyFont="1" applyBorder="1" applyAlignment="1">
      <alignment horizontal="center"/>
    </xf>
    <xf numFmtId="177" fontId="11" fillId="0" borderId="0" xfId="17" applyNumberFormat="1" applyFont="1" applyAlignment="1" applyProtection="1">
      <alignment horizontal="center"/>
      <protection hidden="1"/>
    </xf>
    <xf numFmtId="0" fontId="2" fillId="0" borderId="4" xfId="0" applyFont="1" applyBorder="1" applyAlignment="1" applyProtection="1">
      <alignment horizontal="justify" vertical="center"/>
      <protection hidden="1"/>
    </xf>
    <xf numFmtId="0" fontId="25" fillId="0" borderId="4" xfId="0" applyFont="1" applyBorder="1" applyAlignment="1" applyProtection="1">
      <alignment horizontal="center" vertical="center"/>
      <protection hidden="1"/>
    </xf>
    <xf numFmtId="0" fontId="1" fillId="0" borderId="4" xfId="0" applyFont="1" applyBorder="1" applyAlignment="1" applyProtection="1">
      <alignment horizontal="justify" vertical="center" wrapText="1"/>
      <protection hidden="1"/>
    </xf>
    <xf numFmtId="0" fontId="2" fillId="0" borderId="4" xfId="0" applyFont="1" applyBorder="1" applyAlignment="1" applyProtection="1">
      <alignment horizontal="justify" vertical="center" wrapText="1"/>
      <protection hidden="1"/>
    </xf>
    <xf numFmtId="0" fontId="19" fillId="44" borderId="4" xfId="0" applyFont="1" applyFill="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28" fillId="20" borderId="9" xfId="0" applyFont="1" applyFill="1" applyBorder="1" applyAlignment="1" applyProtection="1">
      <alignment horizontal="center" vertical="center"/>
      <protection hidden="1"/>
    </xf>
    <xf numFmtId="0" fontId="28" fillId="20" borderId="13" xfId="0" applyFont="1" applyFill="1" applyBorder="1" applyAlignment="1" applyProtection="1">
      <alignment horizontal="center" vertical="center"/>
      <protection hidden="1"/>
    </xf>
    <xf numFmtId="0" fontId="28" fillId="20" borderId="21" xfId="0" applyFont="1" applyFill="1" applyBorder="1" applyAlignment="1" applyProtection="1">
      <alignment horizontal="center" vertical="center"/>
      <protection hidden="1"/>
    </xf>
    <xf numFmtId="0" fontId="35" fillId="44" borderId="9" xfId="0" applyFont="1" applyFill="1" applyBorder="1" applyAlignment="1" applyProtection="1">
      <alignment horizontal="center" vertical="center"/>
      <protection hidden="1"/>
    </xf>
    <xf numFmtId="0" fontId="35" fillId="44" borderId="21" xfId="0" applyFont="1" applyFill="1" applyBorder="1" applyAlignment="1" applyProtection="1">
      <alignment horizontal="center" vertical="center"/>
      <protection hidden="1"/>
    </xf>
    <xf numFmtId="0" fontId="27" fillId="0" borderId="4" xfId="0" applyFont="1" applyBorder="1" applyAlignment="1" applyProtection="1">
      <alignment horizontal="left" vertical="center"/>
      <protection hidden="1"/>
    </xf>
    <xf numFmtId="41" fontId="9" fillId="0" borderId="4" xfId="0" applyNumberFormat="1"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13" fillId="0" borderId="4" xfId="0" applyFont="1" applyBorder="1" applyAlignment="1" applyProtection="1">
      <alignment horizontal="center" vertical="center"/>
      <protection hidden="1"/>
    </xf>
    <xf numFmtId="0" fontId="9" fillId="0" borderId="4" xfId="0" applyFont="1" applyBorder="1" applyAlignment="1" applyProtection="1">
      <alignment horizontal="left" vertical="center"/>
      <protection hidden="1"/>
    </xf>
    <xf numFmtId="0" fontId="2" fillId="13" borderId="4" xfId="0" applyFont="1" applyFill="1" applyBorder="1" applyAlignment="1" applyProtection="1">
      <alignment horizontal="justify" vertical="center" wrapText="1"/>
      <protection hidden="1"/>
    </xf>
    <xf numFmtId="0" fontId="19" fillId="0" borderId="4" xfId="0" applyFont="1" applyBorder="1" applyAlignment="1" applyProtection="1">
      <alignment horizontal="center" vertical="center"/>
      <protection hidden="1"/>
    </xf>
    <xf numFmtId="0" fontId="25" fillId="0" borderId="4" xfId="0" applyFont="1" applyBorder="1" applyAlignment="1">
      <alignment horizontal="center" vertical="center"/>
    </xf>
    <xf numFmtId="170" fontId="47" fillId="0" borderId="4" xfId="0" applyNumberFormat="1" applyFont="1" applyBorder="1" applyAlignment="1" applyProtection="1">
      <alignment horizontal="justify" vertical="center"/>
      <protection hidden="1"/>
    </xf>
    <xf numFmtId="0" fontId="10" fillId="0" borderId="4" xfId="0" applyFont="1" applyBorder="1" applyAlignment="1" applyProtection="1">
      <alignment horizontal="justify" vertical="center"/>
      <protection hidden="1"/>
    </xf>
    <xf numFmtId="0" fontId="19" fillId="0" borderId="4" xfId="0" applyFont="1" applyBorder="1" applyAlignment="1" applyProtection="1">
      <alignment horizontal="justify" vertical="center"/>
      <protection hidden="1"/>
    </xf>
    <xf numFmtId="0" fontId="35" fillId="0" borderId="14" xfId="0" applyFont="1" applyBorder="1" applyAlignment="1" applyProtection="1">
      <alignment horizontal="center" vertical="center"/>
      <protection hidden="1"/>
    </xf>
    <xf numFmtId="0" fontId="14" fillId="0" borderId="4" xfId="0" applyFont="1" applyBorder="1" applyAlignment="1" applyProtection="1">
      <alignment horizontal="center"/>
      <protection hidden="1"/>
    </xf>
    <xf numFmtId="0" fontId="10" fillId="0" borderId="14" xfId="0" applyFont="1" applyBorder="1" applyAlignment="1" applyProtection="1">
      <alignment horizontal="center" vertical="center"/>
      <protection hidden="1"/>
    </xf>
    <xf numFmtId="0" fontId="10" fillId="0" borderId="156" xfId="0" applyFont="1" applyBorder="1" applyAlignment="1" applyProtection="1">
      <alignment horizontal="center" vertical="center" wrapText="1"/>
      <protection hidden="1"/>
    </xf>
    <xf numFmtId="0" fontId="10" fillId="0" borderId="160" xfId="0" applyFont="1" applyBorder="1" applyAlignment="1" applyProtection="1">
      <alignment horizontal="center" vertical="center"/>
      <protection hidden="1"/>
    </xf>
    <xf numFmtId="0" fontId="10" fillId="0" borderId="159" xfId="0" applyFont="1" applyBorder="1" applyAlignment="1" applyProtection="1">
      <alignment horizontal="center" vertical="center"/>
      <protection hidden="1"/>
    </xf>
    <xf numFmtId="0" fontId="10" fillId="0" borderId="31"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10" fillId="0" borderId="35" xfId="0" applyFont="1" applyBorder="1" applyAlignment="1" applyProtection="1">
      <alignment horizontal="center" vertical="center"/>
      <protection hidden="1"/>
    </xf>
    <xf numFmtId="0" fontId="9" fillId="0" borderId="4" xfId="0" applyFont="1" applyBorder="1" applyAlignment="1" applyProtection="1">
      <alignment horizontal="justify" vertical="center" wrapText="1"/>
      <protection hidden="1"/>
    </xf>
    <xf numFmtId="0" fontId="19" fillId="13" borderId="4" xfId="0" applyFont="1" applyFill="1" applyBorder="1" applyAlignment="1" applyProtection="1">
      <alignment horizontal="justify" vertical="center"/>
      <protection hidden="1"/>
    </xf>
    <xf numFmtId="0" fontId="35" fillId="0" borderId="14" xfId="0" applyFont="1" applyBorder="1" applyAlignment="1" applyProtection="1">
      <alignment horizontal="center" vertical="center" wrapText="1"/>
      <protection hidden="1"/>
    </xf>
    <xf numFmtId="0" fontId="28" fillId="20" borderId="9" xfId="0" applyFont="1" applyFill="1" applyBorder="1" applyAlignment="1" applyProtection="1">
      <alignment horizontal="left" vertical="top" wrapText="1"/>
      <protection hidden="1"/>
    </xf>
    <xf numFmtId="0" fontId="28" fillId="20" borderId="13" xfId="0" applyFont="1" applyFill="1" applyBorder="1" applyAlignment="1" applyProtection="1">
      <alignment horizontal="left" vertical="top" wrapText="1"/>
      <protection hidden="1"/>
    </xf>
    <xf numFmtId="0" fontId="28" fillId="20" borderId="21" xfId="0" applyFont="1" applyFill="1" applyBorder="1" applyAlignment="1" applyProtection="1">
      <alignment horizontal="left" vertical="top" wrapText="1"/>
      <protection hidden="1"/>
    </xf>
    <xf numFmtId="0" fontId="25" fillId="0" borderId="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0" fontId="25" fillId="0" borderId="9"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25" fillId="0" borderId="156" xfId="0" applyFont="1" applyBorder="1" applyAlignment="1" applyProtection="1">
      <alignment horizontal="left" vertical="center" wrapText="1"/>
      <protection locked="0"/>
    </xf>
    <xf numFmtId="0" fontId="25" fillId="0" borderId="159" xfId="0" applyFont="1" applyBorder="1" applyAlignment="1" applyProtection="1">
      <alignment horizontal="left" vertical="center" wrapText="1"/>
      <protection locked="0"/>
    </xf>
    <xf numFmtId="0" fontId="25" fillId="0" borderId="156" xfId="0" applyFont="1" applyBorder="1" applyAlignment="1" applyProtection="1">
      <alignment horizontal="left" vertical="top" wrapText="1"/>
      <protection locked="0"/>
    </xf>
    <xf numFmtId="0" fontId="25" fillId="0" borderId="160" xfId="0" applyFont="1" applyBorder="1" applyAlignment="1" applyProtection="1">
      <alignment horizontal="left" vertical="top" wrapText="1"/>
      <protection locked="0"/>
    </xf>
    <xf numFmtId="0" fontId="25" fillId="0" borderId="159" xfId="0" applyFont="1" applyBorder="1" applyAlignment="1" applyProtection="1">
      <alignment horizontal="left" vertical="top" wrapText="1"/>
      <protection locked="0"/>
    </xf>
    <xf numFmtId="0" fontId="25" fillId="0" borderId="45"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46" xfId="0" applyFont="1" applyBorder="1" applyAlignment="1" applyProtection="1">
      <alignment horizontal="left" vertical="top" wrapText="1"/>
      <protection locked="0"/>
    </xf>
    <xf numFmtId="0" fontId="25" fillId="0" borderId="31" xfId="0" applyFont="1" applyBorder="1" applyAlignment="1" applyProtection="1">
      <alignment horizontal="left" vertical="top" wrapText="1"/>
      <protection locked="0"/>
    </xf>
    <xf numFmtId="0" fontId="25" fillId="0" borderId="169" xfId="0" applyFont="1" applyBorder="1" applyAlignment="1" applyProtection="1">
      <alignment horizontal="left" vertical="top" wrapText="1"/>
      <protection locked="0"/>
    </xf>
    <xf numFmtId="0" fontId="25" fillId="0" borderId="165" xfId="0" applyFont="1" applyBorder="1" applyAlignment="1" applyProtection="1">
      <alignment horizontal="left" vertical="top" wrapText="1"/>
      <protection locked="0"/>
    </xf>
    <xf numFmtId="0" fontId="35" fillId="0" borderId="4" xfId="0" applyFont="1" applyBorder="1" applyAlignment="1" applyProtection="1">
      <alignment horizontal="center" vertical="center"/>
      <protection hidden="1"/>
    </xf>
    <xf numFmtId="9" fontId="35" fillId="0" borderId="4" xfId="0" applyNumberFormat="1"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21" xfId="0" applyFont="1" applyBorder="1" applyAlignment="1" applyProtection="1">
      <alignment horizontal="center" vertical="center"/>
      <protection hidden="1"/>
    </xf>
    <xf numFmtId="0" fontId="28" fillId="20" borderId="33" xfId="0" applyFont="1" applyFill="1" applyBorder="1" applyAlignment="1" applyProtection="1">
      <alignment horizontal="center" vertical="center" wrapText="1"/>
      <protection hidden="1"/>
    </xf>
    <xf numFmtId="0" fontId="1" fillId="13" borderId="9" xfId="0" applyFont="1" applyFill="1" applyBorder="1" applyAlignment="1" applyProtection="1">
      <alignment horizontal="center" vertical="center" wrapText="1"/>
      <protection hidden="1"/>
    </xf>
    <xf numFmtId="0" fontId="2" fillId="13" borderId="13" xfId="0" applyFont="1" applyFill="1" applyBorder="1" applyAlignment="1" applyProtection="1">
      <alignment horizontal="center" vertical="center" wrapText="1"/>
      <protection hidden="1"/>
    </xf>
    <xf numFmtId="0" fontId="2" fillId="13" borderId="21" xfId="0" applyFont="1" applyFill="1" applyBorder="1" applyAlignment="1" applyProtection="1">
      <alignment horizontal="center" vertical="center" wrapText="1"/>
      <protection hidden="1"/>
    </xf>
    <xf numFmtId="0" fontId="35" fillId="0" borderId="45" xfId="0" applyFont="1" applyBorder="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0" fontId="35" fillId="0" borderId="46" xfId="0" applyFont="1" applyBorder="1" applyAlignment="1" applyProtection="1">
      <alignment horizontal="center" vertical="center" wrapText="1"/>
      <protection hidden="1"/>
    </xf>
    <xf numFmtId="0" fontId="35" fillId="29" borderId="4" xfId="0" applyFont="1" applyFill="1" applyBorder="1" applyAlignment="1" applyProtection="1">
      <alignment horizontal="center" vertical="center" wrapText="1"/>
      <protection hidden="1"/>
    </xf>
    <xf numFmtId="0" fontId="35" fillId="29" borderId="4" xfId="0" applyFont="1" applyFill="1" applyBorder="1" applyAlignment="1" applyProtection="1">
      <alignment horizontal="center" vertical="center"/>
      <protection hidden="1"/>
    </xf>
    <xf numFmtId="0" fontId="19" fillId="0" borderId="4" xfId="0" applyFont="1" applyBorder="1" applyAlignment="1" applyProtection="1">
      <alignment horizontal="center" vertical="center" wrapText="1"/>
      <protection hidden="1"/>
    </xf>
    <xf numFmtId="0" fontId="19" fillId="0" borderId="169" xfId="0" applyFont="1" applyBorder="1" applyAlignment="1" applyProtection="1">
      <alignment horizontal="center" vertical="center"/>
      <protection hidden="1"/>
    </xf>
    <xf numFmtId="0" fontId="10" fillId="20" borderId="4" xfId="0" applyFont="1" applyFill="1" applyBorder="1" applyAlignment="1" applyProtection="1">
      <alignment horizontal="center" vertical="center"/>
      <protection hidden="1"/>
    </xf>
    <xf numFmtId="0" fontId="28" fillId="20" borderId="4" xfId="0" applyFont="1" applyFill="1" applyBorder="1" applyAlignment="1" applyProtection="1">
      <alignment horizontal="left" vertical="top" wrapText="1"/>
      <protection hidden="1"/>
    </xf>
    <xf numFmtId="0" fontId="35" fillId="0" borderId="45" xfId="0" applyFont="1" applyBorder="1" applyAlignment="1" applyProtection="1">
      <alignment horizontal="center" vertical="center"/>
      <protection hidden="1"/>
    </xf>
    <xf numFmtId="0" fontId="35" fillId="0" borderId="0" xfId="0" applyFont="1" applyAlignment="1" applyProtection="1">
      <alignment horizontal="center" vertical="center"/>
      <protection hidden="1"/>
    </xf>
    <xf numFmtId="0" fontId="35" fillId="0" borderId="46" xfId="0" applyFont="1" applyBorder="1" applyAlignment="1" applyProtection="1">
      <alignment horizontal="center" vertical="center"/>
      <protection hidden="1"/>
    </xf>
    <xf numFmtId="0" fontId="35" fillId="29" borderId="4" xfId="0" applyFont="1" applyFill="1" applyBorder="1" applyAlignment="1">
      <alignment horizontal="center" vertical="center" wrapText="1"/>
    </xf>
    <xf numFmtId="170" fontId="47" fillId="13" borderId="4" xfId="0" applyNumberFormat="1" applyFont="1" applyFill="1" applyBorder="1" applyAlignment="1" applyProtection="1">
      <alignment horizontal="justify" vertical="center"/>
      <protection hidden="1"/>
    </xf>
    <xf numFmtId="0" fontId="73" fillId="0" borderId="4" xfId="0" applyFont="1" applyBorder="1" applyAlignment="1" applyProtection="1">
      <alignment horizontal="center" vertical="center" wrapText="1"/>
      <protection hidden="1"/>
    </xf>
    <xf numFmtId="0" fontId="25" fillId="0" borderId="4" xfId="0" applyFont="1" applyBorder="1" applyAlignment="1" applyProtection="1">
      <alignment horizontal="left" vertical="center" wrapText="1"/>
      <protection locked="0"/>
    </xf>
    <xf numFmtId="0" fontId="25" fillId="0" borderId="94" xfId="0" applyFont="1" applyBorder="1" applyAlignment="1" applyProtection="1">
      <alignment horizontal="justify" vertical="center" wrapText="1"/>
      <protection locked="0"/>
    </xf>
    <xf numFmtId="0" fontId="25" fillId="0" borderId="95" xfId="0" applyFont="1" applyBorder="1" applyAlignment="1" applyProtection="1">
      <alignment horizontal="justify" vertical="center" wrapText="1"/>
      <protection locked="0"/>
    </xf>
    <xf numFmtId="0" fontId="25" fillId="0" borderId="96" xfId="0" applyFont="1" applyBorder="1" applyAlignment="1" applyProtection="1">
      <alignment horizontal="justify" vertical="center" wrapText="1"/>
      <protection locked="0"/>
    </xf>
    <xf numFmtId="0" fontId="25" fillId="0" borderId="45" xfId="0" applyFont="1" applyBorder="1" applyAlignment="1" applyProtection="1">
      <alignment horizontal="justify" vertical="center" wrapText="1"/>
      <protection locked="0"/>
    </xf>
    <xf numFmtId="0" fontId="25" fillId="0" borderId="0" xfId="0" applyFont="1" applyAlignment="1" applyProtection="1">
      <alignment horizontal="justify" vertical="center" wrapText="1"/>
      <protection locked="0"/>
    </xf>
    <xf numFmtId="0" fontId="25" fillId="0" borderId="46" xfId="0" applyFont="1" applyBorder="1" applyAlignment="1" applyProtection="1">
      <alignment horizontal="justify" vertical="center" wrapText="1"/>
      <protection locked="0"/>
    </xf>
    <xf numFmtId="0" fontId="25" fillId="0" borderId="31" xfId="0" applyFont="1" applyBorder="1" applyAlignment="1" applyProtection="1">
      <alignment horizontal="justify" vertical="center" wrapText="1"/>
      <protection locked="0"/>
    </xf>
    <xf numFmtId="0" fontId="25" fillId="0" borderId="33" xfId="0" applyFont="1" applyBorder="1" applyAlignment="1" applyProtection="1">
      <alignment horizontal="justify" vertical="center" wrapText="1"/>
      <protection locked="0"/>
    </xf>
    <xf numFmtId="0" fontId="25" fillId="0" borderId="35" xfId="0" applyFont="1" applyBorder="1" applyAlignment="1" applyProtection="1">
      <alignment horizontal="justify" vertical="center" wrapText="1"/>
      <protection locked="0"/>
    </xf>
    <xf numFmtId="0" fontId="25" fillId="0" borderId="94" xfId="0" applyFont="1" applyBorder="1" applyAlignment="1" applyProtection="1">
      <alignment horizontal="left" vertical="center" wrapText="1"/>
      <protection locked="0"/>
    </xf>
    <xf numFmtId="0" fontId="25" fillId="0" borderId="95" xfId="0" applyFont="1" applyBorder="1" applyAlignment="1" applyProtection="1">
      <alignment horizontal="left" vertical="center" wrapText="1"/>
      <protection locked="0"/>
    </xf>
    <xf numFmtId="0" fontId="25" fillId="0" borderId="96" xfId="0" applyFont="1" applyBorder="1" applyAlignment="1" applyProtection="1">
      <alignment horizontal="left" vertical="center" wrapText="1"/>
      <protection locked="0"/>
    </xf>
    <xf numFmtId="0" fontId="25" fillId="0" borderId="31"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5" xfId="0" applyFont="1" applyBorder="1" applyAlignment="1" applyProtection="1">
      <alignment horizontal="left" vertical="center" wrapText="1"/>
      <protection locked="0"/>
    </xf>
    <xf numFmtId="0" fontId="25" fillId="0" borderId="94" xfId="0" applyFont="1" applyBorder="1" applyAlignment="1" applyProtection="1">
      <alignment horizontal="center" vertical="center" wrapText="1"/>
      <protection locked="0"/>
    </xf>
    <xf numFmtId="0" fontId="25" fillId="0" borderId="95" xfId="0" applyFont="1" applyBorder="1" applyAlignment="1" applyProtection="1">
      <alignment horizontal="center" vertical="center" wrapText="1"/>
      <protection locked="0"/>
    </xf>
    <xf numFmtId="0" fontId="25" fillId="0" borderId="96"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35" xfId="0" applyFont="1" applyBorder="1" applyAlignment="1" applyProtection="1">
      <alignment horizontal="center" vertical="center" wrapText="1"/>
      <protection locked="0"/>
    </xf>
    <xf numFmtId="0" fontId="20" fillId="0" borderId="4" xfId="0" applyFont="1" applyBorder="1" applyAlignment="1">
      <alignment horizontal="justify" vertical="center" wrapText="1"/>
    </xf>
    <xf numFmtId="0" fontId="131" fillId="54" borderId="118" xfId="21" applyFont="1" applyFill="1" applyBorder="1" applyAlignment="1">
      <alignment horizontal="center" vertical="center" wrapText="1"/>
    </xf>
    <xf numFmtId="0" fontId="131" fillId="54" borderId="119" xfId="21" applyFont="1" applyFill="1" applyBorder="1" applyAlignment="1">
      <alignment horizontal="center" vertical="center" wrapText="1"/>
    </xf>
    <xf numFmtId="0" fontId="131" fillId="54" borderId="120" xfId="21" applyFont="1" applyFill="1" applyBorder="1" applyAlignment="1">
      <alignment horizontal="center" vertical="center" wrapText="1"/>
    </xf>
    <xf numFmtId="0" fontId="10" fillId="0" borderId="97" xfId="0" applyFont="1" applyBorder="1" applyAlignment="1">
      <alignment horizontal="justify" vertical="center" wrapText="1"/>
    </xf>
    <xf numFmtId="0" fontId="13" fillId="0" borderId="98" xfId="0" applyFont="1" applyBorder="1" applyAlignment="1">
      <alignment horizontal="justify" vertical="center" wrapText="1"/>
    </xf>
    <xf numFmtId="0" fontId="13" fillId="0" borderId="5" xfId="0" applyFont="1" applyBorder="1" applyAlignment="1">
      <alignment horizontal="justify" vertical="center" wrapText="1"/>
    </xf>
    <xf numFmtId="0" fontId="60" fillId="0" borderId="0" xfId="0" applyFont="1" applyAlignment="1">
      <alignment horizontal="center" vertical="center" wrapText="1"/>
    </xf>
    <xf numFmtId="0" fontId="13" fillId="0" borderId="4" xfId="0" applyFont="1" applyBorder="1" applyAlignment="1">
      <alignment horizontal="justify" vertical="center" wrapText="1"/>
    </xf>
    <xf numFmtId="0" fontId="135" fillId="38" borderId="19" xfId="21" applyFont="1" applyBorder="1" applyAlignment="1">
      <alignment horizontal="center" vertical="center" wrapText="1"/>
    </xf>
    <xf numFmtId="0" fontId="135" fillId="38" borderId="38" xfId="21" applyFont="1" applyBorder="1" applyAlignment="1">
      <alignment horizontal="center" vertical="center" wrapText="1"/>
    </xf>
    <xf numFmtId="0" fontId="43" fillId="55" borderId="9" xfId="0" applyFont="1" applyFill="1" applyBorder="1" applyAlignment="1" applyProtection="1">
      <alignment horizontal="justify" vertical="center" wrapText="1"/>
      <protection hidden="1"/>
    </xf>
    <xf numFmtId="0" fontId="43" fillId="55" borderId="13" xfId="0" applyFont="1" applyFill="1" applyBorder="1" applyAlignment="1" applyProtection="1">
      <alignment horizontal="justify" vertical="center" wrapText="1"/>
      <protection hidden="1"/>
    </xf>
    <xf numFmtId="0" fontId="43" fillId="55" borderId="21" xfId="0" applyFont="1" applyFill="1" applyBorder="1" applyAlignment="1" applyProtection="1">
      <alignment horizontal="justify" vertical="center" wrapText="1"/>
      <protection hidden="1"/>
    </xf>
    <xf numFmtId="0" fontId="29" fillId="54" borderId="97" xfId="21" applyFont="1" applyFill="1" applyBorder="1" applyAlignment="1">
      <alignment horizontal="center" vertical="center" wrapText="1"/>
    </xf>
    <xf numFmtId="0" fontId="29" fillId="54" borderId="98" xfId="21" applyFont="1" applyFill="1" applyBorder="1" applyAlignment="1">
      <alignment horizontal="center" vertical="center" wrapText="1"/>
    </xf>
    <xf numFmtId="0" fontId="29" fillId="54" borderId="5" xfId="21" applyFont="1" applyFill="1" applyBorder="1" applyAlignment="1">
      <alignment horizontal="center" vertical="center" wrapText="1"/>
    </xf>
    <xf numFmtId="0" fontId="73" fillId="0" borderId="99" xfId="0" applyFont="1" applyBorder="1" applyAlignment="1">
      <alignment horizontal="justify" vertical="center" wrapText="1"/>
    </xf>
    <xf numFmtId="0" fontId="130" fillId="0" borderId="100" xfId="0" applyFont="1" applyBorder="1" applyAlignment="1">
      <alignment horizontal="justify" vertical="center" wrapText="1"/>
    </xf>
    <xf numFmtId="0" fontId="130" fillId="0" borderId="101" xfId="0" applyFont="1" applyBorder="1" applyAlignment="1">
      <alignment horizontal="justify" vertical="center" wrapText="1"/>
    </xf>
    <xf numFmtId="0" fontId="110" fillId="38" borderId="103" xfId="21" applyFont="1" applyBorder="1" applyAlignment="1">
      <alignment horizontal="center" vertical="center" wrapText="1"/>
    </xf>
    <xf numFmtId="0" fontId="110" fillId="38" borderId="3" xfId="21" applyFont="1" applyBorder="1" applyAlignment="1">
      <alignment horizontal="center" vertical="center" wrapText="1"/>
    </xf>
    <xf numFmtId="0" fontId="13" fillId="0" borderId="99" xfId="0" applyFont="1" applyBorder="1" applyAlignment="1">
      <alignment horizontal="justify" vertical="center" wrapText="1"/>
    </xf>
    <xf numFmtId="0" fontId="13" fillId="0" borderId="100" xfId="0" applyFont="1" applyBorder="1" applyAlignment="1">
      <alignment horizontal="justify" vertical="center" wrapText="1"/>
    </xf>
    <xf numFmtId="0" fontId="13" fillId="0" borderId="101" xfId="0" applyFont="1" applyBorder="1" applyAlignment="1">
      <alignment horizontal="justify" vertical="center" wrapText="1"/>
    </xf>
    <xf numFmtId="0" fontId="115" fillId="53" borderId="113" xfId="16" applyFont="1" applyFill="1" applyBorder="1" applyAlignment="1" applyProtection="1">
      <alignment horizontal="center" vertical="center" wrapText="1"/>
    </xf>
    <xf numFmtId="0" fontId="115" fillId="53" borderId="114" xfId="16" applyFont="1" applyFill="1" applyBorder="1" applyAlignment="1" applyProtection="1">
      <alignment horizontal="center" vertical="center" wrapText="1"/>
    </xf>
    <xf numFmtId="0" fontId="27" fillId="13" borderId="4" xfId="16" applyFont="1" applyFill="1" applyBorder="1" applyAlignment="1" applyProtection="1">
      <alignment horizontal="justify" vertical="center" wrapText="1"/>
    </xf>
    <xf numFmtId="0" fontId="43" fillId="54" borderId="9" xfId="16" applyFont="1" applyFill="1" applyBorder="1" applyAlignment="1" applyProtection="1">
      <alignment horizontal="justify" vertical="center" wrapText="1"/>
    </xf>
    <xf numFmtId="0" fontId="43" fillId="54" borderId="13" xfId="16" applyFont="1" applyFill="1" applyBorder="1" applyAlignment="1" applyProtection="1">
      <alignment horizontal="justify" vertical="center" wrapText="1"/>
    </xf>
    <xf numFmtId="0" fontId="43" fillId="54" borderId="21" xfId="16" applyFont="1" applyFill="1" applyBorder="1" applyAlignment="1" applyProtection="1">
      <alignment horizontal="justify" vertical="center" wrapText="1"/>
    </xf>
    <xf numFmtId="0" fontId="11" fillId="13" borderId="0" xfId="0" applyFont="1" applyFill="1" applyAlignment="1" applyProtection="1">
      <alignment horizontal="center" vertical="center" wrapText="1"/>
      <protection hidden="1"/>
    </xf>
    <xf numFmtId="0" fontId="11" fillId="13" borderId="26" xfId="0" applyFont="1" applyFill="1" applyBorder="1" applyAlignment="1" applyProtection="1">
      <alignment horizontal="center" vertical="center" wrapText="1"/>
      <protection hidden="1"/>
    </xf>
    <xf numFmtId="0" fontId="43" fillId="54" borderId="9" xfId="16" applyFont="1" applyFill="1" applyBorder="1" applyAlignment="1" applyProtection="1">
      <alignment horizontal="center" vertical="center" wrapText="1"/>
    </xf>
    <xf numFmtId="0" fontId="43" fillId="54" borderId="13" xfId="16" applyFont="1" applyFill="1" applyBorder="1" applyAlignment="1" applyProtection="1">
      <alignment horizontal="center" vertical="center" wrapText="1"/>
    </xf>
    <xf numFmtId="0" fontId="73" fillId="44" borderId="14" xfId="0" applyFont="1" applyFill="1" applyBorder="1" applyAlignment="1" applyProtection="1">
      <alignment horizontal="center" vertical="center" wrapText="1"/>
      <protection hidden="1"/>
    </xf>
    <xf numFmtId="0" fontId="126" fillId="0" borderId="9" xfId="0" applyFont="1" applyBorder="1" applyAlignment="1" applyProtection="1">
      <alignment horizontal="justify" vertical="center" wrapText="1"/>
      <protection hidden="1"/>
    </xf>
    <xf numFmtId="0" fontId="126" fillId="0" borderId="21" xfId="0" applyFont="1" applyBorder="1" applyAlignment="1" applyProtection="1">
      <alignment horizontal="justify" vertical="center" wrapText="1"/>
      <protection hidden="1"/>
    </xf>
    <xf numFmtId="0" fontId="21" fillId="0" borderId="4" xfId="0" applyFont="1" applyBorder="1" applyAlignment="1">
      <alignment horizontal="center" vertical="center" wrapText="1"/>
    </xf>
    <xf numFmtId="0" fontId="21" fillId="0" borderId="4" xfId="0" applyFont="1" applyBorder="1" applyAlignment="1">
      <alignment horizontal="justify" vertical="center" wrapText="1"/>
    </xf>
    <xf numFmtId="0" fontId="14" fillId="0" borderId="4" xfId="0" applyFont="1" applyBorder="1" applyAlignment="1" applyProtection="1">
      <alignment horizontal="center" vertical="center" wrapText="1"/>
      <protection hidden="1"/>
    </xf>
    <xf numFmtId="0" fontId="9" fillId="0" borderId="4" xfId="0" applyFont="1" applyBorder="1" applyAlignment="1" applyProtection="1">
      <alignment horizontal="left" wrapText="1"/>
      <protection hidden="1"/>
    </xf>
    <xf numFmtId="0" fontId="109" fillId="0" borderId="95" xfId="0" applyFont="1" applyBorder="1" applyAlignment="1" applyProtection="1">
      <alignment horizontal="left" wrapText="1"/>
      <protection locked="0"/>
    </xf>
    <xf numFmtId="0" fontId="14" fillId="50" borderId="4" xfId="5" applyFont="1" applyFill="1" applyBorder="1" applyAlignment="1" applyProtection="1">
      <alignment horizontal="justify" vertical="center" wrapText="1"/>
      <protection hidden="1"/>
    </xf>
    <xf numFmtId="0" fontId="110" fillId="51" borderId="97" xfId="5" applyFont="1" applyFill="1" applyBorder="1" applyAlignment="1" applyProtection="1">
      <alignment horizontal="center" vertical="center" wrapText="1"/>
      <protection hidden="1"/>
    </xf>
    <xf numFmtId="0" fontId="110" fillId="51" borderId="98" xfId="5" applyFont="1" applyFill="1" applyBorder="1" applyAlignment="1" applyProtection="1">
      <alignment horizontal="center" vertical="center" wrapText="1"/>
      <protection hidden="1"/>
    </xf>
    <xf numFmtId="0" fontId="110" fillId="51" borderId="100" xfId="5" applyFont="1" applyFill="1" applyBorder="1" applyAlignment="1" applyProtection="1">
      <alignment horizontal="center" vertical="center" wrapText="1"/>
      <protection hidden="1"/>
    </xf>
    <xf numFmtId="0" fontId="110" fillId="51" borderId="5" xfId="5" applyFont="1" applyFill="1" applyBorder="1" applyAlignment="1" applyProtection="1">
      <alignment horizontal="center" vertical="center" wrapText="1"/>
      <protection hidden="1"/>
    </xf>
    <xf numFmtId="0" fontId="13" fillId="50" borderId="4" xfId="5" applyFont="1" applyFill="1" applyBorder="1" applyAlignment="1">
      <alignment horizontal="justify" vertical="center" wrapText="1"/>
    </xf>
    <xf numFmtId="0" fontId="110" fillId="51" borderId="9" xfId="5" applyFont="1" applyFill="1" applyBorder="1" applyAlignment="1">
      <alignment horizontal="center" vertical="center" wrapText="1"/>
    </xf>
    <xf numFmtId="0" fontId="110" fillId="51" borderId="13" xfId="5" applyFont="1" applyFill="1" applyBorder="1" applyAlignment="1">
      <alignment horizontal="center" vertical="center" wrapText="1"/>
    </xf>
    <xf numFmtId="0" fontId="110" fillId="51" borderId="21" xfId="5" applyFont="1" applyFill="1" applyBorder="1" applyAlignment="1">
      <alignment horizontal="center" vertical="center" wrapText="1"/>
    </xf>
    <xf numFmtId="0" fontId="112" fillId="52" borderId="102" xfId="16" applyFont="1" applyFill="1" applyBorder="1" applyAlignment="1" applyProtection="1">
      <alignment horizontal="center" vertical="center" wrapText="1"/>
    </xf>
    <xf numFmtId="0" fontId="112" fillId="52" borderId="0" xfId="16" applyFont="1" applyFill="1" applyAlignment="1" applyProtection="1">
      <alignment horizontal="center" vertical="center" wrapText="1"/>
    </xf>
    <xf numFmtId="0" fontId="112" fillId="52" borderId="26" xfId="16" applyFont="1" applyFill="1" applyBorder="1" applyAlignment="1" applyProtection="1">
      <alignment horizontal="center" vertical="center" wrapText="1"/>
    </xf>
    <xf numFmtId="0" fontId="11" fillId="52" borderId="108" xfId="5" applyFont="1" applyFill="1" applyBorder="1" applyAlignment="1">
      <alignment horizontal="right" vertical="center" wrapText="1"/>
    </xf>
    <xf numFmtId="0" fontId="11" fillId="52" borderId="73" xfId="5" applyFont="1" applyFill="1" applyBorder="1" applyAlignment="1">
      <alignment horizontal="right" vertical="center" wrapText="1"/>
    </xf>
    <xf numFmtId="0" fontId="11" fillId="52" borderId="0" xfId="5" applyFont="1" applyFill="1" applyAlignment="1">
      <alignment horizontal="right" vertical="center" wrapText="1"/>
    </xf>
    <xf numFmtId="0" fontId="10" fillId="52" borderId="109" xfId="5" applyFont="1" applyFill="1" applyBorder="1" applyAlignment="1" applyProtection="1">
      <alignment horizontal="center" vertical="center" wrapText="1"/>
      <protection locked="0"/>
    </xf>
    <xf numFmtId="0" fontId="10" fillId="52" borderId="71" xfId="5" applyFont="1" applyFill="1" applyBorder="1" applyAlignment="1" applyProtection="1">
      <alignment horizontal="center" vertical="center" wrapText="1"/>
      <protection locked="0"/>
    </xf>
    <xf numFmtId="0" fontId="10" fillId="52" borderId="56" xfId="5" applyFont="1" applyFill="1" applyBorder="1" applyAlignment="1" applyProtection="1">
      <alignment horizontal="center" vertical="center" wrapText="1"/>
      <protection locked="0"/>
    </xf>
    <xf numFmtId="0" fontId="10" fillId="52" borderId="110" xfId="5" applyFont="1" applyFill="1" applyBorder="1" applyAlignment="1">
      <alignment horizontal="center" vertical="center" wrapText="1"/>
    </xf>
    <xf numFmtId="0" fontId="10" fillId="52" borderId="71" xfId="5" applyFont="1" applyFill="1" applyBorder="1" applyAlignment="1">
      <alignment horizontal="center" vertical="center" wrapText="1"/>
    </xf>
    <xf numFmtId="0" fontId="10" fillId="52" borderId="76" xfId="5" applyFont="1" applyFill="1" applyBorder="1" applyAlignment="1">
      <alignment horizontal="center" vertical="center" wrapText="1"/>
    </xf>
    <xf numFmtId="0" fontId="115" fillId="53" borderId="112" xfId="16" applyFont="1" applyFill="1" applyBorder="1" applyAlignment="1" applyProtection="1">
      <alignment horizontal="center" vertical="center" wrapText="1"/>
    </xf>
    <xf numFmtId="0" fontId="115" fillId="53" borderId="82" xfId="16" applyFont="1" applyFill="1" applyBorder="1" applyAlignment="1" applyProtection="1">
      <alignment horizontal="center" vertical="center" wrapText="1"/>
    </xf>
    <xf numFmtId="0" fontId="10" fillId="52" borderId="109" xfId="5" applyFont="1" applyFill="1" applyBorder="1" applyAlignment="1">
      <alignment horizontal="center" vertical="center" wrapText="1"/>
    </xf>
    <xf numFmtId="0" fontId="10" fillId="52" borderId="56" xfId="5" applyFont="1" applyFill="1" applyBorder="1" applyAlignment="1">
      <alignment horizontal="center" vertical="center" wrapText="1"/>
    </xf>
    <xf numFmtId="0" fontId="148" fillId="4" borderId="4" xfId="5" applyFont="1" applyFill="1" applyBorder="1" applyAlignment="1" applyProtection="1">
      <alignment horizontal="justify" vertical="center" wrapText="1"/>
      <protection hidden="1"/>
    </xf>
    <xf numFmtId="0" fontId="151" fillId="0" borderId="0" xfId="0" applyFont="1" applyAlignment="1">
      <alignment horizontal="left" vertical="center"/>
    </xf>
    <xf numFmtId="0" fontId="151" fillId="0" borderId="102" xfId="0" applyFont="1" applyBorder="1" applyAlignment="1" applyProtection="1">
      <alignment horizontal="left" vertical="center"/>
      <protection hidden="1"/>
    </xf>
    <xf numFmtId="0" fontId="151" fillId="0" borderId="0" xfId="0" applyFont="1" applyAlignment="1" applyProtection="1">
      <alignment horizontal="left" vertical="center"/>
      <protection hidden="1"/>
    </xf>
    <xf numFmtId="0" fontId="14" fillId="0" borderId="102" xfId="0" applyFont="1" applyBorder="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4" fillId="0" borderId="103" xfId="0" applyFont="1" applyBorder="1" applyAlignment="1" applyProtection="1">
      <alignment horizontal="justify" vertical="center" wrapText="1"/>
      <protection hidden="1"/>
    </xf>
    <xf numFmtId="0" fontId="14" fillId="0" borderId="2" xfId="0" applyFont="1" applyBorder="1" applyAlignment="1" applyProtection="1">
      <alignment horizontal="justify" vertical="center" wrapText="1"/>
      <protection hidden="1"/>
    </xf>
    <xf numFmtId="0" fontId="14" fillId="0" borderId="3" xfId="0" applyFont="1" applyBorder="1" applyAlignment="1" applyProtection="1">
      <alignment horizontal="justify" vertical="center" wrapText="1"/>
      <protection hidden="1"/>
    </xf>
    <xf numFmtId="0" fontId="153" fillId="0" borderId="0" xfId="0" applyFont="1" applyAlignment="1">
      <alignment horizontal="left" vertical="center"/>
    </xf>
    <xf numFmtId="0" fontId="148" fillId="4" borderId="22" xfId="5" applyFont="1" applyFill="1" applyBorder="1" applyAlignment="1" applyProtection="1">
      <alignment horizontal="justify" vertical="center" wrapText="1"/>
      <protection hidden="1"/>
    </xf>
    <xf numFmtId="0" fontId="14" fillId="13" borderId="99" xfId="0" applyFont="1" applyFill="1" applyBorder="1" applyAlignment="1" applyProtection="1">
      <alignment horizontal="left" vertical="center" wrapText="1"/>
      <protection hidden="1"/>
    </xf>
    <xf numFmtId="0" fontId="14" fillId="13" borderId="100" xfId="0" applyFont="1" applyFill="1" applyBorder="1" applyAlignment="1" applyProtection="1">
      <alignment horizontal="left" vertical="center" wrapText="1"/>
      <protection hidden="1"/>
    </xf>
    <xf numFmtId="0" fontId="14" fillId="13" borderId="101" xfId="0" applyFont="1" applyFill="1" applyBorder="1" applyAlignment="1" applyProtection="1">
      <alignment horizontal="left" vertical="center" wrapText="1"/>
      <protection hidden="1"/>
    </xf>
    <xf numFmtId="0" fontId="40" fillId="0" borderId="102" xfId="0" applyFont="1" applyBorder="1" applyAlignment="1" applyProtection="1">
      <alignment horizontal="justify" vertical="center" wrapText="1"/>
      <protection hidden="1"/>
    </xf>
    <xf numFmtId="0" fontId="40" fillId="0" borderId="0" xfId="0" applyFont="1" applyAlignment="1" applyProtection="1">
      <alignment horizontal="justify" vertical="center" wrapText="1"/>
      <protection hidden="1"/>
    </xf>
    <xf numFmtId="0" fontId="40" fillId="0" borderId="26" xfId="0" applyFont="1" applyBorder="1" applyAlignment="1" applyProtection="1">
      <alignment horizontal="justify" vertical="center" wrapText="1"/>
      <protection hidden="1"/>
    </xf>
    <xf numFmtId="0" fontId="37" fillId="0" borderId="102" xfId="0" applyFont="1" applyBorder="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53" fillId="4" borderId="20" xfId="5" applyFont="1" applyFill="1" applyBorder="1" applyAlignment="1" applyProtection="1">
      <alignment horizontal="center" vertical="center" wrapText="1"/>
      <protection hidden="1"/>
    </xf>
    <xf numFmtId="0" fontId="53" fillId="4" borderId="24" xfId="5" applyFont="1" applyFill="1" applyBorder="1" applyAlignment="1" applyProtection="1">
      <alignment horizontal="center" vertical="center" wrapText="1"/>
      <protection hidden="1"/>
    </xf>
    <xf numFmtId="0" fontId="53" fillId="4" borderId="14" xfId="5" applyFont="1" applyFill="1" applyBorder="1" applyAlignment="1" applyProtection="1">
      <alignment horizontal="center" vertical="center" wrapText="1"/>
      <protection hidden="1"/>
    </xf>
    <xf numFmtId="0" fontId="148" fillId="4" borderId="4" xfId="5" applyFont="1" applyFill="1" applyBorder="1" applyAlignment="1" applyProtection="1">
      <alignment horizontal="center" vertical="center" wrapText="1"/>
      <protection hidden="1"/>
    </xf>
    <xf numFmtId="9" fontId="108" fillId="15" borderId="28" xfId="5" applyNumberFormat="1" applyFont="1" applyFill="1" applyBorder="1" applyAlignment="1" applyProtection="1">
      <alignment horizontal="center" vertical="center"/>
      <protection locked="0"/>
    </xf>
    <xf numFmtId="9" fontId="108" fillId="15" borderId="130" xfId="5" applyNumberFormat="1" applyFont="1" applyFill="1" applyBorder="1" applyAlignment="1" applyProtection="1">
      <alignment horizontal="center" vertical="center"/>
      <protection locked="0"/>
    </xf>
    <xf numFmtId="9" fontId="108" fillId="15" borderId="15" xfId="5" applyNumberFormat="1" applyFont="1" applyFill="1" applyBorder="1" applyAlignment="1" applyProtection="1">
      <alignment horizontal="center" vertical="center"/>
      <protection locked="0"/>
    </xf>
    <xf numFmtId="0" fontId="65" fillId="4" borderId="16" xfId="5" applyFont="1" applyFill="1" applyBorder="1" applyAlignment="1" applyProtection="1">
      <alignment horizontal="center" vertical="center" wrapText="1"/>
      <protection hidden="1"/>
    </xf>
    <xf numFmtId="0" fontId="65" fillId="4" borderId="25" xfId="5" applyFont="1" applyFill="1" applyBorder="1" applyAlignment="1" applyProtection="1">
      <alignment horizontal="center" vertical="center" wrapText="1"/>
      <protection hidden="1"/>
    </xf>
    <xf numFmtId="0" fontId="149" fillId="4" borderId="4" xfId="5" applyFont="1" applyFill="1" applyBorder="1" applyAlignment="1" applyProtection="1">
      <alignment horizontal="justify" vertical="center" wrapText="1"/>
      <protection hidden="1"/>
    </xf>
    <xf numFmtId="0" fontId="65" fillId="4" borderId="4" xfId="5" applyFont="1" applyFill="1" applyBorder="1" applyAlignment="1" applyProtection="1">
      <alignment horizontal="center" vertical="center" textRotation="90" wrapText="1"/>
      <protection hidden="1"/>
    </xf>
    <xf numFmtId="0" fontId="53" fillId="4" borderId="4" xfId="5" applyFont="1" applyFill="1" applyBorder="1" applyAlignment="1" applyProtection="1">
      <alignment horizontal="center" vertical="center" textRotation="90" wrapText="1"/>
      <protection hidden="1"/>
    </xf>
    <xf numFmtId="0" fontId="53" fillId="4" borderId="22" xfId="5" applyFont="1" applyFill="1" applyBorder="1" applyAlignment="1" applyProtection="1">
      <alignment horizontal="center" vertical="center" textRotation="90" wrapText="1"/>
      <protection hidden="1"/>
    </xf>
    <xf numFmtId="0" fontId="149" fillId="4" borderId="4" xfId="5" applyFont="1" applyFill="1" applyBorder="1" applyAlignment="1" applyProtection="1">
      <alignment horizontal="center" vertical="center" wrapText="1"/>
      <protection hidden="1"/>
    </xf>
    <xf numFmtId="0" fontId="149" fillId="4" borderId="22" xfId="5" applyFont="1" applyFill="1" applyBorder="1" applyAlignment="1" applyProtection="1">
      <alignment horizontal="center" vertical="center" wrapText="1"/>
      <protection hidden="1"/>
    </xf>
    <xf numFmtId="0" fontId="148" fillId="4" borderId="22" xfId="5" applyFont="1" applyFill="1" applyBorder="1" applyAlignment="1" applyProtection="1">
      <alignment horizontal="center" vertical="center" wrapText="1"/>
      <protection hidden="1"/>
    </xf>
    <xf numFmtId="0" fontId="65" fillId="4" borderId="10" xfId="5" applyFont="1" applyFill="1" applyBorder="1" applyAlignment="1" applyProtection="1">
      <alignment horizontal="center" vertical="center" wrapText="1"/>
      <protection hidden="1"/>
    </xf>
    <xf numFmtId="0" fontId="148" fillId="4" borderId="11" xfId="5" applyFont="1" applyFill="1" applyBorder="1" applyAlignment="1" applyProtection="1">
      <alignment horizontal="justify" vertical="center" wrapText="1"/>
      <protection hidden="1"/>
    </xf>
    <xf numFmtId="0" fontId="65" fillId="4" borderId="11" xfId="5" applyFont="1" applyFill="1" applyBorder="1" applyAlignment="1" applyProtection="1">
      <alignment horizontal="center" vertical="center" textRotation="90" wrapText="1"/>
      <protection hidden="1"/>
    </xf>
    <xf numFmtId="0" fontId="148" fillId="4" borderId="11" xfId="5" applyFont="1" applyFill="1" applyBorder="1" applyAlignment="1" applyProtection="1">
      <alignment horizontal="center" vertical="center" wrapText="1"/>
      <protection hidden="1"/>
    </xf>
    <xf numFmtId="10" fontId="108" fillId="15" borderId="17" xfId="5" applyNumberFormat="1" applyFont="1" applyFill="1" applyBorder="1" applyAlignment="1" applyProtection="1">
      <alignment horizontal="center" vertical="center"/>
      <protection locked="0"/>
    </xf>
    <xf numFmtId="0" fontId="53" fillId="4" borderId="4" xfId="5" applyFont="1" applyFill="1" applyBorder="1" applyAlignment="1" applyProtection="1">
      <alignment horizontal="center" vertical="center" wrapText="1"/>
      <protection hidden="1"/>
    </xf>
    <xf numFmtId="0" fontId="23" fillId="22" borderId="132" xfId="12" applyFont="1" applyBorder="1" applyAlignment="1" applyProtection="1">
      <alignment horizontal="center" vertical="center" wrapText="1"/>
      <protection hidden="1"/>
    </xf>
    <xf numFmtId="0" fontId="23" fillId="22" borderId="98" xfId="12" applyFont="1" applyBorder="1" applyAlignment="1" applyProtection="1">
      <alignment horizontal="center" vertical="center" wrapText="1"/>
      <protection hidden="1"/>
    </xf>
    <xf numFmtId="0" fontId="23" fillId="22" borderId="133" xfId="12" applyFont="1" applyBorder="1" applyAlignment="1" applyProtection="1">
      <alignment horizontal="center" vertical="center" wrapText="1"/>
      <protection hidden="1"/>
    </xf>
    <xf numFmtId="0" fontId="53" fillId="4" borderId="7" xfId="5" applyFont="1" applyFill="1" applyBorder="1" applyAlignment="1" applyProtection="1">
      <alignment horizontal="center" vertical="center" wrapText="1"/>
      <protection hidden="1"/>
    </xf>
    <xf numFmtId="0" fontId="53" fillId="4" borderId="20" xfId="5" applyFont="1" applyFill="1" applyBorder="1" applyAlignment="1" applyProtection="1">
      <alignment horizontal="center" vertical="center" textRotation="90" wrapText="1"/>
      <protection hidden="1"/>
    </xf>
    <xf numFmtId="0" fontId="148" fillId="4" borderId="7" xfId="5" applyFont="1" applyFill="1" applyBorder="1" applyAlignment="1" applyProtection="1">
      <alignment horizontal="justify" vertical="center" wrapText="1"/>
      <protection hidden="1"/>
    </xf>
    <xf numFmtId="0" fontId="148" fillId="4" borderId="24" xfId="5" applyFont="1" applyFill="1" applyBorder="1" applyAlignment="1" applyProtection="1">
      <alignment horizontal="justify" vertical="center" wrapText="1"/>
      <protection hidden="1"/>
    </xf>
    <xf numFmtId="0" fontId="148" fillId="4" borderId="47" xfId="5" applyFont="1" applyFill="1" applyBorder="1" applyAlignment="1" applyProtection="1">
      <alignment horizontal="justify" vertical="center" wrapText="1"/>
      <protection hidden="1"/>
    </xf>
    <xf numFmtId="9" fontId="108" fillId="15" borderId="8" xfId="5" applyNumberFormat="1" applyFont="1" applyFill="1" applyBorder="1" applyAlignment="1" applyProtection="1">
      <alignment horizontal="center" vertical="center"/>
      <protection locked="0"/>
    </xf>
    <xf numFmtId="0" fontId="65" fillId="4" borderId="29" xfId="5" applyFont="1" applyFill="1" applyBorder="1" applyAlignment="1" applyProtection="1">
      <alignment horizontal="center" vertical="center" wrapText="1"/>
      <protection hidden="1"/>
    </xf>
    <xf numFmtId="0" fontId="53" fillId="4" borderId="47" xfId="5" applyFont="1" applyFill="1" applyBorder="1" applyAlignment="1" applyProtection="1">
      <alignment horizontal="center" vertical="center" wrapText="1"/>
      <protection hidden="1"/>
    </xf>
    <xf numFmtId="0" fontId="148" fillId="4" borderId="20" xfId="5" applyFont="1" applyFill="1" applyBorder="1" applyAlignment="1" applyProtection="1">
      <alignment horizontal="center" vertical="center" wrapText="1"/>
      <protection hidden="1"/>
    </xf>
    <xf numFmtId="9" fontId="108" fillId="15" borderId="126" xfId="5" applyNumberFormat="1" applyFont="1" applyFill="1" applyBorder="1" applyAlignment="1" applyProtection="1">
      <alignment horizontal="center" vertical="center"/>
      <protection locked="0"/>
    </xf>
    <xf numFmtId="0" fontId="148" fillId="4" borderId="20" xfId="5" applyFont="1" applyFill="1" applyBorder="1" applyAlignment="1" applyProtection="1">
      <alignment horizontal="justify" vertical="center" wrapText="1"/>
      <protection hidden="1"/>
    </xf>
    <xf numFmtId="0" fontId="73" fillId="4" borderId="128" xfId="5" applyFont="1" applyFill="1" applyBorder="1" applyAlignment="1" applyProtection="1">
      <alignment horizontal="center" vertical="center" wrapText="1"/>
      <protection hidden="1"/>
    </xf>
    <xf numFmtId="0" fontId="73" fillId="4" borderId="51" xfId="5" applyFont="1" applyFill="1" applyBorder="1" applyAlignment="1" applyProtection="1">
      <alignment horizontal="center" vertical="center" wrapText="1"/>
      <protection hidden="1"/>
    </xf>
    <xf numFmtId="0" fontId="73" fillId="4" borderId="131" xfId="5" applyFont="1" applyFill="1" applyBorder="1" applyAlignment="1" applyProtection="1">
      <alignment horizontal="center" vertical="center" wrapText="1"/>
      <protection hidden="1"/>
    </xf>
    <xf numFmtId="0" fontId="23" fillId="22" borderId="27" xfId="12" applyFont="1" applyBorder="1" applyAlignment="1" applyProtection="1">
      <alignment horizontal="center" vertical="center" wrapText="1"/>
      <protection hidden="1"/>
    </xf>
    <xf numFmtId="0" fontId="23" fillId="22" borderId="129" xfId="12" applyFont="1" applyBorder="1" applyAlignment="1" applyProtection="1">
      <alignment horizontal="center" vertical="center" wrapText="1"/>
      <protection hidden="1"/>
    </xf>
    <xf numFmtId="0" fontId="23" fillId="22" borderId="87" xfId="12" applyFont="1" applyBorder="1" applyAlignment="1" applyProtection="1">
      <alignment horizontal="center" vertical="center" wrapText="1"/>
      <protection hidden="1"/>
    </xf>
    <xf numFmtId="0" fontId="74" fillId="4" borderId="4" xfId="5" applyFont="1" applyFill="1" applyBorder="1" applyAlignment="1" applyProtection="1">
      <alignment horizontal="center" vertical="center" textRotation="90" wrapText="1"/>
      <protection hidden="1"/>
    </xf>
    <xf numFmtId="0" fontId="148" fillId="4" borderId="24" xfId="5" applyFont="1" applyFill="1" applyBorder="1" applyAlignment="1" applyProtection="1">
      <alignment horizontal="center" vertical="center" wrapText="1"/>
      <protection hidden="1"/>
    </xf>
    <xf numFmtId="0" fontId="148" fillId="4" borderId="47" xfId="5" applyFont="1" applyFill="1" applyBorder="1" applyAlignment="1" applyProtection="1">
      <alignment horizontal="center" vertical="center" wrapText="1"/>
      <protection hidden="1"/>
    </xf>
    <xf numFmtId="0" fontId="65" fillId="4" borderId="20" xfId="5" applyFont="1" applyFill="1" applyBorder="1" applyAlignment="1" applyProtection="1">
      <alignment horizontal="center" vertical="center" textRotation="90" wrapText="1"/>
      <protection hidden="1"/>
    </xf>
    <xf numFmtId="0" fontId="65" fillId="4" borderId="24" xfId="5" applyFont="1" applyFill="1" applyBorder="1" applyAlignment="1" applyProtection="1">
      <alignment horizontal="center" vertical="center" textRotation="90" wrapText="1"/>
      <protection hidden="1"/>
    </xf>
    <xf numFmtId="0" fontId="65" fillId="4" borderId="14" xfId="5" applyFont="1" applyFill="1" applyBorder="1" applyAlignment="1" applyProtection="1">
      <alignment horizontal="center" vertical="center" textRotation="90" wrapText="1"/>
      <protection hidden="1"/>
    </xf>
    <xf numFmtId="0" fontId="148" fillId="4" borderId="14" xfId="5" applyFont="1" applyFill="1" applyBorder="1" applyAlignment="1" applyProtection="1">
      <alignment horizontal="center" vertical="center" wrapText="1"/>
      <protection hidden="1"/>
    </xf>
    <xf numFmtId="10" fontId="108" fillId="15" borderId="28" xfId="5" applyNumberFormat="1" applyFont="1" applyFill="1" applyBorder="1" applyAlignment="1" applyProtection="1">
      <alignment horizontal="center" vertical="center"/>
      <protection locked="0"/>
    </xf>
    <xf numFmtId="10" fontId="108" fillId="15" borderId="130" xfId="5" applyNumberFormat="1" applyFont="1" applyFill="1" applyBorder="1" applyAlignment="1" applyProtection="1">
      <alignment horizontal="center" vertical="center"/>
      <protection locked="0"/>
    </xf>
    <xf numFmtId="10" fontId="108" fillId="15" borderId="15" xfId="5" applyNumberFormat="1" applyFont="1" applyFill="1" applyBorder="1" applyAlignment="1" applyProtection="1">
      <alignment horizontal="center" vertical="center"/>
      <protection locked="0"/>
    </xf>
    <xf numFmtId="0" fontId="28" fillId="4" borderId="9" xfId="5" applyFont="1" applyFill="1" applyBorder="1" applyAlignment="1" applyProtection="1">
      <alignment horizontal="center" vertical="center" wrapText="1"/>
      <protection hidden="1"/>
    </xf>
    <xf numFmtId="0" fontId="28" fillId="4" borderId="13" xfId="5" applyFont="1" applyFill="1" applyBorder="1" applyAlignment="1" applyProtection="1">
      <alignment horizontal="center" vertical="center" wrapText="1"/>
      <protection hidden="1"/>
    </xf>
    <xf numFmtId="0" fontId="28" fillId="4" borderId="21" xfId="5" applyFont="1" applyFill="1" applyBorder="1" applyAlignment="1" applyProtection="1">
      <alignment horizontal="center" vertical="center" wrapText="1"/>
      <protection hidden="1"/>
    </xf>
    <xf numFmtId="0" fontId="35" fillId="4" borderId="20" xfId="0" applyFont="1" applyFill="1" applyBorder="1" applyAlignment="1" applyProtection="1">
      <alignment horizontal="center" vertical="center" textRotation="90" wrapText="1"/>
      <protection hidden="1"/>
    </xf>
    <xf numFmtId="0" fontId="35" fillId="4" borderId="24" xfId="0" applyFont="1" applyFill="1" applyBorder="1" applyAlignment="1" applyProtection="1">
      <alignment horizontal="center" vertical="center" textRotation="90" wrapText="1"/>
      <protection hidden="1"/>
    </xf>
    <xf numFmtId="0" fontId="35" fillId="4" borderId="47" xfId="0" applyFont="1" applyFill="1" applyBorder="1" applyAlignment="1" applyProtection="1">
      <alignment horizontal="center" vertical="center" textRotation="90" wrapText="1"/>
      <protection hidden="1"/>
    </xf>
    <xf numFmtId="9" fontId="144" fillId="14" borderId="9" xfId="7" applyFont="1" applyFill="1" applyBorder="1" applyAlignment="1" applyProtection="1">
      <alignment horizontal="center" vertical="center" wrapText="1"/>
      <protection hidden="1"/>
    </xf>
    <xf numFmtId="9" fontId="144" fillId="14" borderId="21" xfId="7" applyFont="1" applyFill="1" applyBorder="1" applyAlignment="1" applyProtection="1">
      <alignment horizontal="center" vertical="center" wrapText="1"/>
      <protection hidden="1"/>
    </xf>
    <xf numFmtId="0" fontId="10" fillId="36" borderId="45" xfId="5" applyFont="1" applyFill="1" applyBorder="1" applyAlignment="1" applyProtection="1">
      <alignment horizontal="center" vertical="center" wrapText="1"/>
      <protection hidden="1"/>
    </xf>
    <xf numFmtId="0" fontId="10" fillId="36" borderId="0" xfId="5" applyFont="1" applyFill="1" applyAlignment="1" applyProtection="1">
      <alignment horizontal="center" vertical="center" wrapText="1"/>
      <protection hidden="1"/>
    </xf>
    <xf numFmtId="0" fontId="10" fillId="36" borderId="26" xfId="5" applyFont="1" applyFill="1" applyBorder="1" applyAlignment="1" applyProtection="1">
      <alignment horizontal="center" vertical="center" wrapText="1"/>
      <protection hidden="1"/>
    </xf>
    <xf numFmtId="0" fontId="10" fillId="41" borderId="4" xfId="23" applyFont="1" applyBorder="1" applyAlignment="1" applyProtection="1">
      <alignment horizontal="center" vertical="center" wrapText="1"/>
      <protection hidden="1"/>
    </xf>
    <xf numFmtId="0" fontId="28" fillId="56" borderId="4" xfId="5" applyFont="1" applyFill="1" applyBorder="1" applyAlignment="1" applyProtection="1">
      <alignment horizontal="center" vertical="center" wrapText="1"/>
      <protection hidden="1"/>
    </xf>
    <xf numFmtId="0" fontId="10" fillId="36" borderId="49" xfId="5" applyFont="1" applyFill="1" applyBorder="1" applyAlignment="1" applyProtection="1">
      <alignment horizontal="center" vertical="center" wrapText="1"/>
      <protection hidden="1"/>
    </xf>
    <xf numFmtId="0" fontId="10" fillId="36" borderId="16" xfId="5" applyFont="1" applyFill="1" applyBorder="1" applyAlignment="1" applyProtection="1">
      <alignment horizontal="center" vertical="center" wrapText="1"/>
      <protection hidden="1"/>
    </xf>
    <xf numFmtId="0" fontId="10" fillId="36" borderId="14" xfId="5" applyFont="1" applyFill="1" applyBorder="1" applyAlignment="1" applyProtection="1">
      <alignment horizontal="center" vertical="center" wrapText="1"/>
      <protection hidden="1"/>
    </xf>
    <xf numFmtId="0" fontId="10" fillId="36" borderId="4" xfId="5" applyFont="1" applyFill="1" applyBorder="1" applyAlignment="1" applyProtection="1">
      <alignment horizontal="center" vertical="center" wrapText="1"/>
      <protection hidden="1"/>
    </xf>
    <xf numFmtId="0" fontId="10" fillId="36" borderId="24" xfId="5" applyFont="1" applyFill="1" applyBorder="1" applyAlignment="1" applyProtection="1">
      <alignment horizontal="center" vertical="center" wrapText="1"/>
      <protection hidden="1"/>
    </xf>
    <xf numFmtId="0" fontId="11" fillId="59" borderId="9" xfId="5" applyFont="1" applyFill="1" applyBorder="1" applyAlignment="1" applyProtection="1">
      <alignment horizontal="center" vertical="center" wrapText="1"/>
      <protection hidden="1"/>
    </xf>
    <xf numFmtId="0" fontId="11" fillId="59" borderId="21" xfId="5" applyFont="1" applyFill="1" applyBorder="1" applyAlignment="1" applyProtection="1">
      <alignment horizontal="center" vertical="center" wrapText="1"/>
      <protection hidden="1"/>
    </xf>
    <xf numFmtId="170" fontId="11" fillId="58" borderId="122" xfId="7" applyNumberFormat="1" applyFont="1" applyFill="1" applyBorder="1" applyAlignment="1" applyProtection="1">
      <alignment horizontal="center" vertical="center"/>
      <protection hidden="1"/>
    </xf>
    <xf numFmtId="170" fontId="11" fillId="58" borderId="3" xfId="7" applyNumberFormat="1" applyFont="1" applyFill="1" applyBorder="1" applyAlignment="1" applyProtection="1">
      <alignment horizontal="center" vertical="center"/>
      <protection hidden="1"/>
    </xf>
    <xf numFmtId="0" fontId="14" fillId="0" borderId="9" xfId="0" applyFont="1" applyBorder="1" applyAlignment="1" applyProtection="1">
      <alignment horizontal="justify" vertical="center" wrapText="1"/>
      <protection hidden="1"/>
    </xf>
    <xf numFmtId="0" fontId="14" fillId="0" borderId="13" xfId="0" applyFont="1" applyBorder="1" applyAlignment="1" applyProtection="1">
      <alignment horizontal="justify" vertical="center"/>
      <protection hidden="1"/>
    </xf>
    <xf numFmtId="0" fontId="14" fillId="0" borderId="21" xfId="0" applyFont="1" applyBorder="1" applyAlignment="1" applyProtection="1">
      <alignment horizontal="justify" vertical="center"/>
      <protection hidden="1"/>
    </xf>
    <xf numFmtId="0" fontId="14" fillId="0" borderId="0" xfId="0" applyFont="1" applyAlignment="1">
      <alignment horizontal="left" vertical="center" wrapText="1"/>
    </xf>
    <xf numFmtId="0" fontId="147" fillId="51" borderId="9" xfId="5" applyFont="1" applyFill="1" applyBorder="1" applyAlignment="1" applyProtection="1">
      <alignment horizontal="center" vertical="center"/>
      <protection hidden="1"/>
    </xf>
    <xf numFmtId="0" fontId="147" fillId="51" borderId="13" xfId="5" applyFont="1" applyFill="1" applyBorder="1" applyAlignment="1" applyProtection="1">
      <alignment horizontal="center" vertical="center"/>
      <protection hidden="1"/>
    </xf>
    <xf numFmtId="0" fontId="147" fillId="51" borderId="21" xfId="5" applyFont="1" applyFill="1" applyBorder="1" applyAlignment="1" applyProtection="1">
      <alignment horizontal="center" vertical="center"/>
      <protection hidden="1"/>
    </xf>
    <xf numFmtId="0" fontId="35" fillId="36" borderId="38" xfId="33" applyFont="1" applyFill="1" applyBorder="1" applyAlignment="1" applyProtection="1">
      <alignment horizontal="center" vertical="center" wrapText="1"/>
      <protection hidden="1"/>
    </xf>
    <xf numFmtId="0" fontId="35" fillId="36" borderId="39" xfId="33" applyFont="1" applyFill="1" applyBorder="1" applyAlignment="1" applyProtection="1">
      <alignment horizontal="center" vertical="center" wrapText="1"/>
      <protection hidden="1"/>
    </xf>
    <xf numFmtId="0" fontId="35" fillId="36" borderId="40" xfId="33" applyFont="1" applyFill="1" applyBorder="1" applyAlignment="1" applyProtection="1">
      <alignment horizontal="center" vertical="center" wrapText="1"/>
      <protection hidden="1"/>
    </xf>
    <xf numFmtId="0" fontId="35" fillId="36" borderId="6" xfId="33" applyFont="1" applyFill="1" applyBorder="1" applyAlignment="1" applyProtection="1">
      <alignment horizontal="center" vertical="center" wrapText="1"/>
      <protection hidden="1"/>
    </xf>
    <xf numFmtId="0" fontId="35" fillId="36" borderId="7" xfId="33" applyFont="1" applyFill="1" applyBorder="1" applyAlignment="1" applyProtection="1">
      <alignment horizontal="center" vertical="center" wrapText="1"/>
      <protection hidden="1"/>
    </xf>
    <xf numFmtId="0" fontId="35" fillId="36" borderId="124" xfId="33" applyFont="1" applyFill="1" applyBorder="1" applyAlignment="1" applyProtection="1">
      <alignment horizontal="center" vertical="center" wrapText="1"/>
      <protection hidden="1"/>
    </xf>
    <xf numFmtId="0" fontId="108" fillId="15" borderId="121" xfId="5" applyFont="1" applyFill="1" applyBorder="1" applyAlignment="1" applyProtection="1">
      <alignment horizontal="center" vertical="center"/>
      <protection hidden="1"/>
    </xf>
    <xf numFmtId="0" fontId="108" fillId="15" borderId="125" xfId="5" applyFont="1" applyFill="1" applyBorder="1" applyAlignment="1" applyProtection="1">
      <alignment horizontal="center" vertical="center"/>
      <protection hidden="1"/>
    </xf>
    <xf numFmtId="0" fontId="108" fillId="15" borderId="127" xfId="5" applyFont="1" applyFill="1" applyBorder="1" applyAlignment="1" applyProtection="1">
      <alignment horizontal="center" vertical="center"/>
      <protection hidden="1"/>
    </xf>
    <xf numFmtId="0" fontId="35" fillId="36" borderId="48" xfId="33" applyFont="1" applyFill="1" applyBorder="1" applyAlignment="1" applyProtection="1">
      <alignment horizontal="center" vertical="center" wrapText="1"/>
      <protection hidden="1"/>
    </xf>
    <xf numFmtId="0" fontId="35" fillId="36" borderId="11" xfId="33" applyFont="1" applyFill="1" applyBorder="1" applyAlignment="1" applyProtection="1">
      <alignment horizontal="center" vertical="center" wrapText="1"/>
      <protection hidden="1"/>
    </xf>
    <xf numFmtId="0" fontId="35" fillId="36" borderId="22" xfId="33" applyFont="1" applyFill="1" applyBorder="1" applyAlignment="1" applyProtection="1">
      <alignment horizontal="center" vertical="center" wrapText="1"/>
      <protection hidden="1"/>
    </xf>
    <xf numFmtId="0" fontId="35" fillId="36" borderId="8" xfId="33" applyFont="1" applyFill="1" applyBorder="1" applyAlignment="1" applyProtection="1">
      <alignment horizontal="center" vertical="center" wrapText="1"/>
      <protection hidden="1"/>
    </xf>
    <xf numFmtId="0" fontId="35" fillId="36" borderId="126" xfId="33" applyFont="1" applyFill="1" applyBorder="1" applyAlignment="1" applyProtection="1">
      <alignment horizontal="center" vertical="center" wrapText="1"/>
      <protection hidden="1"/>
    </xf>
    <xf numFmtId="0" fontId="14" fillId="0" borderId="13" xfId="0" applyFont="1" applyBorder="1" applyAlignment="1" applyProtection="1">
      <alignment horizontal="left" vertical="center"/>
      <protection hidden="1"/>
    </xf>
    <xf numFmtId="14" fontId="14" fillId="0" borderId="13" xfId="0" applyNumberFormat="1" applyFont="1" applyBorder="1" applyAlignment="1" applyProtection="1">
      <alignment horizontal="left" vertical="center"/>
      <protection hidden="1"/>
    </xf>
    <xf numFmtId="0" fontId="11" fillId="13" borderId="0" xfId="5" applyFont="1" applyFill="1" applyAlignment="1">
      <alignment horizontal="center" vertical="center" wrapText="1"/>
    </xf>
    <xf numFmtId="0" fontId="11" fillId="51" borderId="4" xfId="5" applyFont="1" applyFill="1" applyBorder="1" applyAlignment="1">
      <alignment horizontal="center" vertical="center" wrapText="1"/>
    </xf>
    <xf numFmtId="0" fontId="10" fillId="0" borderId="0" xfId="0" applyFont="1" applyAlignment="1" applyProtection="1">
      <alignment horizontal="center" vertical="center"/>
      <protection hidden="1"/>
    </xf>
    <xf numFmtId="0" fontId="14" fillId="0" borderId="4" xfId="0" applyFont="1" applyBorder="1" applyAlignment="1" applyProtection="1">
      <alignment horizontal="center" vertical="center"/>
      <protection hidden="1"/>
    </xf>
    <xf numFmtId="41" fontId="20" fillId="0" borderId="33" xfId="0" applyNumberFormat="1" applyFont="1" applyBorder="1" applyAlignment="1" applyProtection="1">
      <alignment horizontal="left" vertical="center" wrapText="1"/>
      <protection hidden="1"/>
    </xf>
    <xf numFmtId="0" fontId="20" fillId="0" borderId="33" xfId="0" applyFont="1" applyBorder="1" applyAlignment="1" applyProtection="1">
      <alignment horizontal="left" vertical="center" wrapText="1"/>
      <protection hidden="1"/>
    </xf>
    <xf numFmtId="0" fontId="19" fillId="0" borderId="156" xfId="0" applyFont="1" applyBorder="1" applyAlignment="1" applyProtection="1">
      <alignment horizontal="center" vertical="center" wrapText="1"/>
      <protection hidden="1"/>
    </xf>
    <xf numFmtId="0" fontId="19" fillId="0" borderId="160" xfId="0" applyFont="1" applyBorder="1" applyAlignment="1" applyProtection="1">
      <alignment horizontal="center" vertical="center" wrapText="1"/>
      <protection hidden="1"/>
    </xf>
    <xf numFmtId="0" fontId="19" fillId="0" borderId="159" xfId="0" applyFont="1" applyBorder="1" applyAlignment="1" applyProtection="1">
      <alignment horizontal="center" vertical="center" wrapText="1"/>
      <protection hidden="1"/>
    </xf>
    <xf numFmtId="0" fontId="19" fillId="0" borderId="31" xfId="0" applyFont="1" applyBorder="1" applyAlignment="1" applyProtection="1">
      <alignment horizontal="center" vertical="center" wrapText="1"/>
      <protection hidden="1"/>
    </xf>
    <xf numFmtId="0" fontId="19" fillId="0" borderId="33" xfId="0" applyFont="1" applyBorder="1" applyAlignment="1" applyProtection="1">
      <alignment horizontal="center" vertical="center" wrapText="1"/>
      <protection hidden="1"/>
    </xf>
    <xf numFmtId="0" fontId="19" fillId="0" borderId="35" xfId="0" applyFont="1" applyBorder="1" applyAlignment="1" applyProtection="1">
      <alignment horizontal="center" vertical="center" wrapText="1"/>
      <protection hidden="1"/>
    </xf>
    <xf numFmtId="0" fontId="47" fillId="13" borderId="9" xfId="0" applyFont="1" applyFill="1" applyBorder="1" applyAlignment="1" applyProtection="1">
      <alignment horizontal="left" vertical="center" wrapText="1"/>
      <protection hidden="1"/>
    </xf>
    <xf numFmtId="0" fontId="47" fillId="13" borderId="21" xfId="0" applyFont="1" applyFill="1" applyBorder="1" applyAlignment="1" applyProtection="1">
      <alignment horizontal="left" vertical="center" wrapText="1"/>
      <protection hidden="1"/>
    </xf>
    <xf numFmtId="0" fontId="51" fillId="61" borderId="99" xfId="0" applyFont="1" applyFill="1" applyBorder="1" applyAlignment="1" applyProtection="1">
      <alignment horizontal="center" vertical="center"/>
      <protection hidden="1"/>
    </xf>
    <xf numFmtId="0" fontId="51" fillId="61" borderId="100" xfId="0" applyFont="1" applyFill="1" applyBorder="1" applyAlignment="1" applyProtection="1">
      <alignment horizontal="center" vertical="center"/>
      <protection hidden="1"/>
    </xf>
    <xf numFmtId="0" fontId="51" fillId="61" borderId="103" xfId="0" applyFont="1" applyFill="1" applyBorder="1" applyAlignment="1" applyProtection="1">
      <alignment horizontal="center" vertical="center"/>
      <protection hidden="1"/>
    </xf>
    <xf numFmtId="0" fontId="51" fillId="61" borderId="2" xfId="0" applyFont="1" applyFill="1" applyBorder="1" applyAlignment="1" applyProtection="1">
      <alignment horizontal="center" vertical="center"/>
      <protection hidden="1"/>
    </xf>
    <xf numFmtId="0" fontId="51" fillId="61" borderId="10" xfId="0" applyFont="1" applyFill="1" applyBorder="1" applyAlignment="1" applyProtection="1">
      <alignment horizontal="center" vertical="center" wrapText="1"/>
      <protection hidden="1"/>
    </xf>
    <xf numFmtId="0" fontId="51" fillId="61" borderId="25" xfId="0" applyFont="1" applyFill="1" applyBorder="1" applyAlignment="1" applyProtection="1">
      <alignment horizontal="center" vertical="center" wrapText="1"/>
      <protection hidden="1"/>
    </xf>
    <xf numFmtId="0" fontId="51" fillId="61" borderId="12" xfId="0" applyFont="1" applyFill="1" applyBorder="1" applyAlignment="1" applyProtection="1">
      <alignment horizontal="center" vertical="center" wrapText="1"/>
      <protection hidden="1"/>
    </xf>
    <xf numFmtId="0" fontId="51" fillId="61" borderId="23" xfId="0" applyFont="1" applyFill="1" applyBorder="1" applyAlignment="1" applyProtection="1">
      <alignment horizontal="center" vertical="center" wrapText="1"/>
      <protection hidden="1"/>
    </xf>
    <xf numFmtId="0" fontId="51" fillId="61" borderId="11" xfId="0" applyFont="1" applyFill="1" applyBorder="1" applyAlignment="1" applyProtection="1">
      <alignment horizontal="center" vertical="center" wrapText="1"/>
      <protection hidden="1"/>
    </xf>
    <xf numFmtId="0" fontId="51" fillId="61" borderId="22" xfId="0" applyFont="1" applyFill="1" applyBorder="1" applyAlignment="1" applyProtection="1">
      <alignment horizontal="center" vertical="center" wrapText="1"/>
      <protection hidden="1"/>
    </xf>
    <xf numFmtId="0" fontId="51" fillId="61" borderId="124" xfId="0" applyFont="1" applyFill="1" applyBorder="1" applyAlignment="1" applyProtection="1">
      <alignment horizontal="center" vertical="center" wrapText="1"/>
      <protection hidden="1"/>
    </xf>
    <xf numFmtId="0" fontId="51" fillId="61" borderId="100" xfId="0" applyFont="1" applyFill="1" applyBorder="1" applyAlignment="1" applyProtection="1">
      <alignment horizontal="center" vertical="center" wrapText="1"/>
      <protection hidden="1"/>
    </xf>
    <xf numFmtId="0" fontId="51" fillId="61" borderId="6" xfId="0" applyFont="1" applyFill="1" applyBorder="1" applyAlignment="1" applyProtection="1">
      <alignment horizontal="center" vertical="center" wrapText="1"/>
      <protection hidden="1"/>
    </xf>
    <xf numFmtId="0" fontId="51" fillId="61" borderId="122" xfId="0" applyFont="1" applyFill="1" applyBorder="1" applyAlignment="1" applyProtection="1">
      <alignment horizontal="center" vertical="center" wrapText="1"/>
      <protection hidden="1"/>
    </xf>
    <xf numFmtId="0" fontId="51" fillId="61" borderId="2" xfId="0" applyFont="1" applyFill="1" applyBorder="1" applyAlignment="1" applyProtection="1">
      <alignment horizontal="center" vertical="center" wrapText="1"/>
      <protection hidden="1"/>
    </xf>
    <xf numFmtId="0" fontId="51" fillId="61" borderId="138" xfId="0" applyFont="1" applyFill="1" applyBorder="1" applyAlignment="1" applyProtection="1">
      <alignment horizontal="center" vertical="center" wrapText="1"/>
      <protection hidden="1"/>
    </xf>
    <xf numFmtId="0" fontId="14" fillId="0" borderId="4" xfId="0" applyFont="1" applyBorder="1" applyAlignment="1">
      <alignment horizontal="center" vertical="center"/>
    </xf>
    <xf numFmtId="0" fontId="51" fillId="61" borderId="99" xfId="0" applyFont="1" applyFill="1" applyBorder="1" applyAlignment="1" applyProtection="1">
      <alignment horizontal="center" vertical="center" wrapText="1"/>
      <protection hidden="1"/>
    </xf>
    <xf numFmtId="0" fontId="51" fillId="61" borderId="101" xfId="0" applyFont="1" applyFill="1" applyBorder="1" applyAlignment="1" applyProtection="1">
      <alignment horizontal="center" vertical="center" wrapText="1"/>
      <protection hidden="1"/>
    </xf>
    <xf numFmtId="0" fontId="51" fillId="61" borderId="103" xfId="0" applyFont="1" applyFill="1" applyBorder="1" applyAlignment="1" applyProtection="1">
      <alignment horizontal="center" vertical="center" wrapText="1"/>
      <protection hidden="1"/>
    </xf>
    <xf numFmtId="0" fontId="51" fillId="61" borderId="3" xfId="0" applyFont="1" applyFill="1" applyBorder="1" applyAlignment="1" applyProtection="1">
      <alignment horizontal="center" vertical="center" wrapText="1"/>
      <protection hidden="1"/>
    </xf>
    <xf numFmtId="0" fontId="36" fillId="0" borderId="4" xfId="0" applyFont="1" applyBorder="1" applyAlignment="1">
      <alignment horizontal="left" vertical="center" wrapText="1"/>
    </xf>
    <xf numFmtId="41" fontId="14" fillId="0" borderId="13" xfId="0" applyNumberFormat="1" applyFont="1" applyBorder="1" applyAlignment="1" applyProtection="1">
      <alignment horizontal="left" vertical="center" wrapText="1"/>
      <protection hidden="1"/>
    </xf>
    <xf numFmtId="0" fontId="14" fillId="0" borderId="13" xfId="0" applyFont="1" applyBorder="1" applyAlignment="1" applyProtection="1">
      <alignment horizontal="left" vertical="center" wrapText="1"/>
      <protection hidden="1"/>
    </xf>
    <xf numFmtId="0" fontId="22" fillId="0" borderId="0" xfId="0" applyFont="1" applyAlignment="1" applyProtection="1">
      <alignment horizontal="center" vertical="center"/>
      <protection hidden="1"/>
    </xf>
    <xf numFmtId="0" fontId="14" fillId="0" borderId="148" xfId="0" applyFont="1" applyBorder="1" applyAlignment="1" applyProtection="1">
      <alignment horizontal="center" vertical="center"/>
      <protection locked="0"/>
    </xf>
    <xf numFmtId="0" fontId="14" fillId="0" borderId="129" xfId="0" applyFont="1" applyBorder="1" applyAlignment="1" applyProtection="1">
      <alignment horizontal="center" vertical="center"/>
      <protection locked="0"/>
    </xf>
    <xf numFmtId="0" fontId="14" fillId="0" borderId="87" xfId="0" applyFont="1" applyBorder="1" applyAlignment="1" applyProtection="1">
      <alignment horizontal="center" vertical="center"/>
      <protection locked="0"/>
    </xf>
    <xf numFmtId="0" fontId="51" fillId="61" borderId="102" xfId="0" applyFont="1" applyFill="1" applyBorder="1" applyAlignment="1" applyProtection="1">
      <alignment horizontal="center" vertical="center" wrapText="1"/>
      <protection hidden="1"/>
    </xf>
    <xf numFmtId="0" fontId="51" fillId="61" borderId="26" xfId="0" applyFont="1" applyFill="1" applyBorder="1" applyAlignment="1" applyProtection="1">
      <alignment horizontal="center" vertical="center" wrapText="1"/>
      <protection hidden="1"/>
    </xf>
    <xf numFmtId="0" fontId="51" fillId="61" borderId="0" xfId="0" applyFont="1" applyFill="1" applyAlignment="1" applyProtection="1">
      <alignment horizontal="center" vertical="center"/>
      <protection hidden="1"/>
    </xf>
    <xf numFmtId="0" fontId="51" fillId="61" borderId="29" xfId="0" applyFont="1" applyFill="1" applyBorder="1" applyAlignment="1" applyProtection="1">
      <alignment horizontal="center" vertical="center" wrapText="1"/>
      <protection hidden="1"/>
    </xf>
    <xf numFmtId="0" fontId="51" fillId="61" borderId="28" xfId="0" applyFont="1" applyFill="1" applyBorder="1" applyAlignment="1" applyProtection="1">
      <alignment horizontal="center" vertical="center" wrapText="1"/>
      <protection hidden="1"/>
    </xf>
    <xf numFmtId="0" fontId="51" fillId="61" borderId="152" xfId="0" applyFont="1" applyFill="1" applyBorder="1" applyAlignment="1" applyProtection="1">
      <alignment horizontal="center" vertical="center" wrapText="1"/>
      <protection hidden="1"/>
    </xf>
    <xf numFmtId="0" fontId="35" fillId="0" borderId="128" xfId="0" applyFont="1" applyBorder="1" applyAlignment="1" applyProtection="1">
      <alignment horizontal="center" vertical="center"/>
      <protection locked="0"/>
    </xf>
    <xf numFmtId="0" fontId="35" fillId="0" borderId="131" xfId="0" applyFont="1" applyBorder="1" applyAlignment="1" applyProtection="1">
      <alignment horizontal="center" vertical="center"/>
      <protection locked="0"/>
    </xf>
    <xf numFmtId="0" fontId="35" fillId="0" borderId="11"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22" xfId="0"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47" fillId="0" borderId="4" xfId="0" applyFont="1" applyBorder="1" applyAlignment="1" applyProtection="1">
      <alignment horizontal="justify" vertical="center" wrapText="1"/>
      <protection hidden="1"/>
    </xf>
    <xf numFmtId="0" fontId="47" fillId="0" borderId="140" xfId="0" applyFont="1" applyBorder="1" applyAlignment="1" applyProtection="1">
      <alignment horizontal="justify" vertical="center" wrapText="1"/>
      <protection hidden="1"/>
    </xf>
    <xf numFmtId="0" fontId="47" fillId="0" borderId="95" xfId="0" applyFont="1" applyBorder="1" applyAlignment="1" applyProtection="1">
      <alignment horizontal="justify" vertical="center" wrapText="1"/>
      <protection hidden="1"/>
    </xf>
    <xf numFmtId="0" fontId="47" fillId="0" borderId="141" xfId="0" applyFont="1" applyBorder="1" applyAlignment="1" applyProtection="1">
      <alignment horizontal="justify" vertical="center" wrapText="1"/>
      <protection hidden="1"/>
    </xf>
    <xf numFmtId="0" fontId="47" fillId="0" borderId="31" xfId="0" applyFont="1" applyBorder="1" applyAlignment="1" applyProtection="1">
      <alignment horizontal="justify" vertical="center" wrapText="1"/>
      <protection hidden="1"/>
    </xf>
    <xf numFmtId="0" fontId="47" fillId="0" borderId="33" xfId="0" applyFont="1" applyBorder="1" applyAlignment="1" applyProtection="1">
      <alignment horizontal="justify" vertical="center" wrapText="1"/>
      <protection hidden="1"/>
    </xf>
    <xf numFmtId="0" fontId="47" fillId="0" borderId="35" xfId="0" applyFont="1" applyBorder="1" applyAlignment="1" applyProtection="1">
      <alignment horizontal="justify" vertical="center" wrapText="1"/>
      <protection hidden="1"/>
    </xf>
    <xf numFmtId="0" fontId="14" fillId="0" borderId="99" xfId="0" applyFont="1" applyBorder="1" applyAlignment="1" applyProtection="1">
      <alignment horizontal="center" vertical="center"/>
      <protection locked="0"/>
    </xf>
    <xf numFmtId="0" fontId="14" fillId="0" borderId="102" xfId="0" applyFont="1" applyBorder="1" applyAlignment="1" applyProtection="1">
      <alignment horizontal="center" vertical="center"/>
      <protection locked="0"/>
    </xf>
    <xf numFmtId="0" fontId="47" fillId="0" borderId="4" xfId="0" applyFont="1" applyBorder="1" applyAlignment="1">
      <alignment horizontal="left" vertical="center" wrapText="1"/>
    </xf>
    <xf numFmtId="0" fontId="14" fillId="0" borderId="158" xfId="0" applyFont="1" applyBorder="1" applyAlignment="1" applyProtection="1">
      <alignment horizontal="center" vertical="center"/>
      <protection hidden="1"/>
    </xf>
    <xf numFmtId="0" fontId="14" fillId="0" borderId="14" xfId="0" applyFont="1" applyBorder="1" applyAlignment="1" applyProtection="1">
      <alignment horizontal="center" vertical="center"/>
      <protection hidden="1"/>
    </xf>
    <xf numFmtId="0" fontId="108" fillId="0" borderId="156" xfId="0" applyFont="1" applyBorder="1" applyAlignment="1" applyProtection="1">
      <alignment horizontal="center" vertical="center" wrapText="1"/>
      <protection hidden="1"/>
    </xf>
    <xf numFmtId="0" fontId="108" fillId="0" borderId="160" xfId="0" applyFont="1" applyBorder="1" applyAlignment="1" applyProtection="1">
      <alignment horizontal="center" vertical="center" wrapText="1"/>
      <protection hidden="1"/>
    </xf>
    <xf numFmtId="0" fontId="108" fillId="0" borderId="159" xfId="0" applyFont="1" applyBorder="1" applyAlignment="1" applyProtection="1">
      <alignment horizontal="center" vertical="center" wrapText="1"/>
      <protection hidden="1"/>
    </xf>
    <xf numFmtId="0" fontId="108" fillId="0" borderId="31" xfId="0" applyFont="1" applyBorder="1" applyAlignment="1" applyProtection="1">
      <alignment horizontal="center" vertical="center" wrapText="1"/>
      <protection hidden="1"/>
    </xf>
    <xf numFmtId="0" fontId="108" fillId="0" borderId="33" xfId="0" applyFont="1" applyBorder="1" applyAlignment="1" applyProtection="1">
      <alignment horizontal="center" vertical="center" wrapText="1"/>
      <protection hidden="1"/>
    </xf>
    <xf numFmtId="0" fontId="108" fillId="0" borderId="35" xfId="0" applyFont="1" applyBorder="1" applyAlignment="1" applyProtection="1">
      <alignment horizontal="center" vertical="center" wrapText="1"/>
      <protection hidden="1"/>
    </xf>
    <xf numFmtId="0" fontId="93" fillId="13" borderId="0" xfId="0" applyFont="1" applyFill="1" applyAlignment="1" applyProtection="1">
      <alignment horizontal="center" vertical="center" wrapText="1"/>
      <protection hidden="1"/>
    </xf>
    <xf numFmtId="0" fontId="77" fillId="25" borderId="9" xfId="0" applyFont="1" applyFill="1" applyBorder="1" applyAlignment="1" applyProtection="1">
      <alignment horizontal="center" vertical="center"/>
      <protection hidden="1"/>
    </xf>
    <xf numFmtId="0" fontId="77" fillId="25" borderId="13" xfId="0" applyFont="1" applyFill="1" applyBorder="1" applyAlignment="1" applyProtection="1">
      <alignment horizontal="center" vertical="center"/>
      <protection hidden="1"/>
    </xf>
    <xf numFmtId="0" fontId="77" fillId="25" borderId="21" xfId="0" applyFont="1" applyFill="1" applyBorder="1" applyAlignment="1" applyProtection="1">
      <alignment horizontal="center" vertical="center"/>
      <protection hidden="1"/>
    </xf>
    <xf numFmtId="0" fontId="86" fillId="0" borderId="9" xfId="0" applyFont="1" applyBorder="1" applyAlignment="1" applyProtection="1">
      <alignment horizontal="center" vertical="center"/>
      <protection hidden="1"/>
    </xf>
    <xf numFmtId="0" fontId="86" fillId="0" borderId="21" xfId="0" applyFont="1" applyBorder="1" applyAlignment="1" applyProtection="1">
      <alignment horizontal="center" vertical="center"/>
      <protection hidden="1"/>
    </xf>
    <xf numFmtId="0" fontId="87" fillId="25" borderId="9" xfId="0" applyFont="1" applyFill="1" applyBorder="1" applyAlignment="1" applyProtection="1">
      <alignment horizontal="center" vertical="center"/>
      <protection locked="0"/>
    </xf>
    <xf numFmtId="0" fontId="87" fillId="25" borderId="21" xfId="0" applyFont="1" applyFill="1" applyBorder="1" applyAlignment="1" applyProtection="1">
      <alignment horizontal="center" vertical="center"/>
      <protection locked="0"/>
    </xf>
    <xf numFmtId="0" fontId="87" fillId="25" borderId="9" xfId="0" applyFont="1" applyFill="1" applyBorder="1" applyAlignment="1" applyProtection="1">
      <alignment horizontal="center" vertical="center"/>
      <protection hidden="1"/>
    </xf>
    <xf numFmtId="0" fontId="87" fillId="25" borderId="21" xfId="0" applyFont="1" applyFill="1" applyBorder="1" applyAlignment="1" applyProtection="1">
      <alignment horizontal="center" vertical="center"/>
      <protection hidden="1"/>
    </xf>
    <xf numFmtId="0" fontId="89" fillId="25" borderId="9" xfId="0" applyFont="1" applyFill="1" applyBorder="1" applyAlignment="1" applyProtection="1">
      <alignment horizontal="center" vertical="center"/>
      <protection hidden="1"/>
    </xf>
    <xf numFmtId="0" fontId="89" fillId="25" borderId="21" xfId="0" applyFont="1" applyFill="1" applyBorder="1" applyAlignment="1" applyProtection="1">
      <alignment horizontal="center" vertical="center"/>
      <protection hidden="1"/>
    </xf>
    <xf numFmtId="0" fontId="90" fillId="0" borderId="9" xfId="0" applyFont="1" applyBorder="1" applyAlignment="1" applyProtection="1">
      <alignment horizontal="center" vertical="center"/>
      <protection hidden="1"/>
    </xf>
    <xf numFmtId="0" fontId="90" fillId="0" borderId="21" xfId="0" applyFont="1" applyBorder="1" applyAlignment="1" applyProtection="1">
      <alignment horizontal="center" vertical="center"/>
      <protection hidden="1"/>
    </xf>
    <xf numFmtId="0" fontId="100" fillId="20" borderId="9" xfId="0" applyFont="1" applyFill="1" applyBorder="1" applyAlignment="1" applyProtection="1">
      <alignment horizontal="left" vertical="center" wrapText="1"/>
      <protection hidden="1"/>
    </xf>
    <xf numFmtId="0" fontId="93" fillId="20" borderId="13" xfId="0" applyFont="1" applyFill="1" applyBorder="1" applyAlignment="1" applyProtection="1">
      <alignment horizontal="left" vertical="center" wrapText="1"/>
      <protection hidden="1"/>
    </xf>
    <xf numFmtId="0" fontId="93" fillId="20" borderId="21" xfId="0" applyFont="1" applyFill="1" applyBorder="1" applyAlignment="1" applyProtection="1">
      <alignment horizontal="left" vertical="center" wrapText="1"/>
      <protection hidden="1"/>
    </xf>
    <xf numFmtId="0" fontId="0" fillId="0" borderId="9" xfId="0" applyBorder="1" applyAlignment="1" applyProtection="1">
      <alignment horizontal="justify" vertical="center" wrapText="1"/>
      <protection hidden="1"/>
    </xf>
    <xf numFmtId="0" fontId="0" fillId="0" borderId="13" xfId="0" applyBorder="1" applyAlignment="1" applyProtection="1">
      <alignment horizontal="justify" vertical="center" wrapText="1"/>
      <protection hidden="1"/>
    </xf>
    <xf numFmtId="0" fontId="0" fillId="0" borderId="21" xfId="0" applyBorder="1" applyAlignment="1" applyProtection="1">
      <alignment horizontal="justify" vertical="center" wrapText="1"/>
      <protection hidden="1"/>
    </xf>
    <xf numFmtId="0" fontId="77" fillId="0" borderId="0" xfId="0" applyFont="1" applyAlignment="1" applyProtection="1">
      <alignment horizontal="center" vertical="center"/>
      <protection hidden="1"/>
    </xf>
    <xf numFmtId="179" fontId="0" fillId="9" borderId="4" xfId="0" applyNumberFormat="1" applyFill="1" applyBorder="1" applyAlignment="1" applyProtection="1">
      <alignment horizontal="left" vertical="center" wrapText="1"/>
      <protection hidden="1"/>
    </xf>
    <xf numFmtId="14" fontId="0" fillId="9" borderId="4" xfId="0" applyNumberFormat="1" applyFill="1" applyBorder="1" applyAlignment="1" applyProtection="1">
      <alignment horizontal="left" vertical="center"/>
      <protection hidden="1"/>
    </xf>
    <xf numFmtId="179" fontId="0" fillId="9" borderId="9" xfId="0" applyNumberFormat="1" applyFill="1" applyBorder="1" applyAlignment="1" applyProtection="1">
      <alignment horizontal="left" vertical="center"/>
      <protection locked="0"/>
    </xf>
    <xf numFmtId="179" fontId="0" fillId="9" borderId="21" xfId="0" applyNumberFormat="1" applyFill="1" applyBorder="1" applyAlignment="1" applyProtection="1">
      <alignment horizontal="left" vertical="center"/>
      <protection locked="0"/>
    </xf>
    <xf numFmtId="9" fontId="0" fillId="0" borderId="4" xfId="2" applyFont="1" applyFill="1" applyBorder="1" applyAlignment="1" applyProtection="1">
      <alignment horizontal="center"/>
      <protection locked="0"/>
    </xf>
    <xf numFmtId="0" fontId="0" fillId="0" borderId="4" xfId="0" applyBorder="1" applyAlignment="1" applyProtection="1">
      <alignment horizontal="center"/>
      <protection locked="0"/>
    </xf>
    <xf numFmtId="0" fontId="59" fillId="25" borderId="4" xfId="0" applyFont="1" applyFill="1" applyBorder="1" applyAlignment="1" applyProtection="1">
      <alignment horizontal="center"/>
      <protection hidden="1"/>
    </xf>
    <xf numFmtId="0" fontId="0" fillId="0" borderId="4" xfId="0" applyBorder="1" applyAlignment="1" applyProtection="1">
      <alignment horizontal="justify" vertical="center" wrapText="1"/>
      <protection hidden="1"/>
    </xf>
    <xf numFmtId="0" fontId="59" fillId="25" borderId="9" xfId="0" applyFont="1" applyFill="1" applyBorder="1" applyAlignment="1" applyProtection="1">
      <alignment horizontal="center" vertical="center"/>
      <protection hidden="1"/>
    </xf>
    <xf numFmtId="0" fontId="59" fillId="25" borderId="21" xfId="0" applyFont="1" applyFill="1" applyBorder="1" applyAlignment="1" applyProtection="1">
      <alignment horizontal="center" vertical="center"/>
      <protection hidden="1"/>
    </xf>
    <xf numFmtId="0" fontId="93" fillId="25" borderId="9" xfId="0" applyFont="1" applyFill="1" applyBorder="1" applyAlignment="1" applyProtection="1">
      <alignment horizontal="center" vertical="center"/>
      <protection hidden="1"/>
    </xf>
    <xf numFmtId="0" fontId="93" fillId="25" borderId="21" xfId="0" applyFont="1" applyFill="1" applyBorder="1" applyAlignment="1" applyProtection="1">
      <alignment horizontal="center" vertical="center"/>
      <protection hidden="1"/>
    </xf>
    <xf numFmtId="179" fontId="59" fillId="0" borderId="9" xfId="0" applyNumberFormat="1" applyFont="1" applyBorder="1" applyAlignment="1" applyProtection="1">
      <alignment horizontal="center" vertical="center"/>
      <protection locked="0"/>
    </xf>
    <xf numFmtId="179" fontId="59" fillId="0" borderId="21" xfId="0" applyNumberFormat="1" applyFont="1" applyBorder="1" applyAlignment="1" applyProtection="1">
      <alignment horizontal="center" vertical="center"/>
      <protection locked="0"/>
    </xf>
    <xf numFmtId="0" fontId="72" fillId="9" borderId="0" xfId="0" applyFont="1" applyFill="1" applyAlignment="1" applyProtection="1">
      <alignment horizontal="center" vertical="center"/>
      <protection hidden="1"/>
    </xf>
    <xf numFmtId="0" fontId="77" fillId="13" borderId="0" xfId="0" applyFont="1" applyFill="1" applyAlignment="1" applyProtection="1">
      <alignment horizontal="center" vertical="center"/>
      <protection hidden="1"/>
    </xf>
    <xf numFmtId="0" fontId="59" fillId="0" borderId="0" xfId="0" applyFont="1" applyAlignment="1" applyProtection="1">
      <alignment horizontal="center" vertical="center"/>
      <protection hidden="1"/>
    </xf>
    <xf numFmtId="9" fontId="0" fillId="0" borderId="9" xfId="2" applyFont="1" applyFill="1" applyBorder="1" applyAlignment="1" applyProtection="1">
      <alignment horizontal="center"/>
      <protection locked="0"/>
    </xf>
    <xf numFmtId="9" fontId="0" fillId="0" borderId="13" xfId="2" applyFont="1" applyFill="1" applyBorder="1" applyAlignment="1" applyProtection="1">
      <alignment horizontal="center"/>
      <protection locked="0"/>
    </xf>
    <xf numFmtId="0" fontId="191" fillId="0" borderId="4" xfId="0" applyFont="1" applyBorder="1" applyAlignment="1" applyProtection="1">
      <alignment horizontal="center" vertical="center"/>
      <protection hidden="1"/>
    </xf>
    <xf numFmtId="9" fontId="0" fillId="0" borderId="21" xfId="2" applyFont="1" applyFill="1" applyBorder="1" applyAlignment="1" applyProtection="1">
      <alignment horizontal="center"/>
      <protection locked="0"/>
    </xf>
    <xf numFmtId="0" fontId="0" fillId="0" borderId="9" xfId="0" applyBorder="1" applyAlignment="1">
      <alignment horizontal="center"/>
    </xf>
    <xf numFmtId="0" fontId="0" fillId="0" borderId="21" xfId="0" applyBorder="1" applyAlignment="1">
      <alignment horizontal="center"/>
    </xf>
    <xf numFmtId="0" fontId="172" fillId="0" borderId="9" xfId="0" applyFont="1" applyBorder="1" applyAlignment="1" applyProtection="1">
      <alignment horizontal="center" vertical="center"/>
      <protection locked="0"/>
    </xf>
    <xf numFmtId="0" fontId="172" fillId="0" borderId="21" xfId="0" applyFont="1" applyBorder="1" applyAlignment="1" applyProtection="1">
      <alignment horizontal="center" vertical="center"/>
      <protection locked="0"/>
    </xf>
    <xf numFmtId="177" fontId="0" fillId="0" borderId="9" xfId="17" applyNumberFormat="1" applyFont="1" applyBorder="1" applyAlignment="1" applyProtection="1">
      <alignment horizontal="justify" vertical="center"/>
      <protection locked="0"/>
    </xf>
    <xf numFmtId="177" fontId="0" fillId="0" borderId="21" xfId="17" applyNumberFormat="1" applyFont="1" applyBorder="1" applyAlignment="1" applyProtection="1">
      <alignment horizontal="justify" vertical="center"/>
      <protection locked="0"/>
    </xf>
    <xf numFmtId="0" fontId="59" fillId="25" borderId="4" xfId="0" applyFont="1" applyFill="1" applyBorder="1" applyAlignment="1" applyProtection="1">
      <alignment horizontal="center" vertical="center" wrapText="1"/>
      <protection hidden="1"/>
    </xf>
    <xf numFmtId="0" fontId="58" fillId="13" borderId="0" xfId="0" applyFont="1" applyFill="1" applyAlignment="1" applyProtection="1">
      <alignment horizontal="center" vertical="center" wrapText="1"/>
      <protection hidden="1"/>
    </xf>
    <xf numFmtId="9" fontId="93" fillId="13" borderId="0" xfId="0" applyNumberFormat="1" applyFont="1" applyFill="1" applyAlignment="1" applyProtection="1">
      <alignment horizontal="center" vertical="center"/>
      <protection hidden="1"/>
    </xf>
    <xf numFmtId="0" fontId="58" fillId="0" borderId="0" xfId="0" applyFont="1" applyAlignment="1" applyProtection="1">
      <alignment horizontal="center" vertical="center" wrapText="1"/>
      <protection hidden="1"/>
    </xf>
    <xf numFmtId="0" fontId="93" fillId="0" borderId="0" xfId="0" applyFont="1" applyAlignment="1" applyProtection="1">
      <alignment horizontal="center" vertical="center" wrapText="1"/>
      <protection hidden="1"/>
    </xf>
    <xf numFmtId="9" fontId="93" fillId="0" borderId="0" xfId="0" applyNumberFormat="1" applyFont="1" applyAlignment="1" applyProtection="1">
      <alignment horizontal="center" vertical="center"/>
      <protection hidden="1"/>
    </xf>
    <xf numFmtId="0" fontId="59" fillId="25" borderId="9" xfId="0" applyFont="1" applyFill="1" applyBorder="1" applyAlignment="1">
      <alignment horizontal="center" vertical="center"/>
    </xf>
    <xf numFmtId="0" fontId="59" fillId="25" borderId="21" xfId="0" applyFont="1" applyFill="1" applyBorder="1" applyAlignment="1">
      <alignment horizontal="center" vertical="center"/>
    </xf>
    <xf numFmtId="0" fontId="59" fillId="25" borderId="4" xfId="0" applyFont="1" applyFill="1" applyBorder="1" applyAlignment="1">
      <alignment horizontal="center" vertical="center"/>
    </xf>
    <xf numFmtId="0" fontId="95" fillId="0" borderId="4" xfId="0" applyFont="1" applyBorder="1" applyAlignment="1" applyProtection="1">
      <alignment horizontal="center" vertical="top" wrapText="1"/>
      <protection locked="0"/>
    </xf>
    <xf numFmtId="0" fontId="77" fillId="14" borderId="4" xfId="0" applyFont="1" applyFill="1" applyBorder="1" applyAlignment="1" applyProtection="1">
      <alignment horizontal="center" vertical="center" wrapText="1"/>
      <protection hidden="1"/>
    </xf>
    <xf numFmtId="0" fontId="77" fillId="12" borderId="4" xfId="0" applyFont="1" applyFill="1" applyBorder="1" applyAlignment="1" applyProtection="1">
      <alignment horizontal="center" vertical="center" wrapText="1"/>
      <protection hidden="1"/>
    </xf>
    <xf numFmtId="0" fontId="77" fillId="25" borderId="4" xfId="0" applyFont="1" applyFill="1" applyBorder="1" applyAlignment="1" applyProtection="1">
      <alignment horizontal="center" vertical="center" wrapText="1"/>
      <protection hidden="1"/>
    </xf>
    <xf numFmtId="0" fontId="77" fillId="46" borderId="9" xfId="0" applyFont="1" applyFill="1" applyBorder="1" applyAlignment="1" applyProtection="1">
      <alignment horizontal="center" vertical="center" wrapText="1"/>
      <protection hidden="1"/>
    </xf>
    <xf numFmtId="0" fontId="77" fillId="46" borderId="13" xfId="0" applyFont="1" applyFill="1" applyBorder="1" applyAlignment="1" applyProtection="1">
      <alignment horizontal="center" vertical="center" wrapText="1"/>
      <protection hidden="1"/>
    </xf>
    <xf numFmtId="0" fontId="77" fillId="46" borderId="21" xfId="0" applyFont="1" applyFill="1" applyBorder="1" applyAlignment="1" applyProtection="1">
      <alignment horizontal="center" vertical="center" wrapText="1"/>
      <protection hidden="1"/>
    </xf>
    <xf numFmtId="0" fontId="95" fillId="0" borderId="0" xfId="0" applyFont="1" applyAlignment="1" applyProtection="1">
      <alignment vertical="top" wrapText="1"/>
      <protection locked="0"/>
    </xf>
    <xf numFmtId="0" fontId="59" fillId="25" borderId="31" xfId="0" applyFont="1" applyFill="1" applyBorder="1" applyAlignment="1" applyProtection="1">
      <alignment horizontal="center"/>
      <protection hidden="1"/>
    </xf>
    <xf numFmtId="0" fontId="59" fillId="25" borderId="33" xfId="0" applyFont="1" applyFill="1" applyBorder="1" applyAlignment="1" applyProtection="1">
      <alignment horizontal="center"/>
      <protection hidden="1"/>
    </xf>
    <xf numFmtId="0" fontId="59" fillId="25" borderId="35" xfId="0" applyFont="1" applyFill="1" applyBorder="1" applyAlignment="1" applyProtection="1">
      <alignment horizontal="center"/>
      <protection hidden="1"/>
    </xf>
    <xf numFmtId="0" fontId="59" fillId="25" borderId="4" xfId="0" applyFont="1" applyFill="1" applyBorder="1" applyAlignment="1" applyProtection="1">
      <alignment horizontal="center" vertical="center"/>
      <protection hidden="1"/>
    </xf>
    <xf numFmtId="0" fontId="190" fillId="72" borderId="9" xfId="0" applyFont="1" applyFill="1" applyBorder="1" applyAlignment="1" applyProtection="1">
      <alignment horizontal="center" vertical="center" wrapText="1"/>
      <protection hidden="1"/>
    </xf>
    <xf numFmtId="0" fontId="190" fillId="72" borderId="13" xfId="0" applyFont="1" applyFill="1" applyBorder="1" applyAlignment="1" applyProtection="1">
      <alignment horizontal="center" vertical="center" wrapText="1"/>
      <protection hidden="1"/>
    </xf>
    <xf numFmtId="0" fontId="190" fillId="72" borderId="21" xfId="0" applyFont="1" applyFill="1"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113" fillId="20" borderId="4" xfId="0" applyFont="1" applyFill="1" applyBorder="1" applyAlignment="1" applyProtection="1">
      <alignment horizontal="center" vertical="center" wrapText="1"/>
      <protection hidden="1"/>
    </xf>
    <xf numFmtId="0" fontId="113" fillId="20" borderId="2" xfId="0" applyFont="1" applyFill="1" applyBorder="1" applyAlignment="1" applyProtection="1">
      <alignment horizontal="left" vertical="center" wrapText="1"/>
      <protection hidden="1"/>
    </xf>
    <xf numFmtId="0" fontId="158" fillId="61" borderId="4" xfId="0" applyFont="1" applyFill="1" applyBorder="1" applyAlignment="1">
      <alignment horizontal="center" vertical="center"/>
    </xf>
    <xf numFmtId="167" fontId="157" fillId="61" borderId="4" xfId="24" applyNumberFormat="1" applyFont="1" applyFill="1" applyBorder="1" applyAlignment="1" applyProtection="1">
      <alignment horizontal="center" vertical="center"/>
      <protection hidden="1"/>
    </xf>
    <xf numFmtId="0" fontId="189" fillId="20" borderId="0" xfId="0" applyFont="1" applyFill="1" applyAlignment="1" applyProtection="1">
      <alignment horizontal="left" vertical="center" wrapText="1"/>
      <protection hidden="1"/>
    </xf>
    <xf numFmtId="0" fontId="14" fillId="0" borderId="4" xfId="0" applyFont="1" applyBorder="1" applyAlignment="1" applyProtection="1">
      <alignment horizontal="left" vertical="center" wrapText="1"/>
      <protection locked="0"/>
    </xf>
    <xf numFmtId="0" fontId="113" fillId="20" borderId="0" xfId="0" applyFont="1" applyFill="1" applyAlignment="1" applyProtection="1">
      <alignment horizontal="left" vertical="center"/>
      <protection hidden="1"/>
    </xf>
    <xf numFmtId="0" fontId="14" fillId="0" borderId="4" xfId="0" applyFont="1" applyBorder="1" applyAlignment="1" applyProtection="1">
      <alignment vertical="center"/>
      <protection locked="0"/>
    </xf>
    <xf numFmtId="0" fontId="25" fillId="0" borderId="0" xfId="0" applyFont="1" applyAlignment="1">
      <alignment horizontal="left" vertical="center" wrapText="1"/>
    </xf>
    <xf numFmtId="0" fontId="19" fillId="0" borderId="0" xfId="0" applyFont="1" applyAlignment="1" applyProtection="1">
      <alignment horizontal="right" vertical="center" wrapText="1"/>
      <protection hidden="1"/>
    </xf>
    <xf numFmtId="0" fontId="113" fillId="13" borderId="192" xfId="0" applyFont="1" applyFill="1" applyBorder="1" applyAlignment="1" applyProtection="1">
      <alignment horizontal="left" vertical="center"/>
      <protection hidden="1"/>
    </xf>
    <xf numFmtId="0" fontId="22" fillId="0" borderId="54" xfId="0" applyFont="1" applyBorder="1" applyAlignment="1" applyProtection="1">
      <alignment horizontal="center" vertical="center"/>
      <protection hidden="1"/>
    </xf>
    <xf numFmtId="0" fontId="160" fillId="61" borderId="164" xfId="16" applyFont="1" applyFill="1" applyBorder="1" applyAlignment="1" applyProtection="1">
      <alignment horizontal="center" vertical="center" wrapText="1"/>
      <protection hidden="1"/>
    </xf>
    <xf numFmtId="0" fontId="160" fillId="61" borderId="169" xfId="16" applyFont="1" applyFill="1" applyBorder="1" applyAlignment="1" applyProtection="1">
      <alignment horizontal="center" vertical="center" wrapText="1"/>
      <protection hidden="1"/>
    </xf>
    <xf numFmtId="0" fontId="160" fillId="61" borderId="13" xfId="16" applyFont="1" applyFill="1" applyBorder="1" applyAlignment="1" applyProtection="1">
      <alignment horizontal="center" vertical="center" wrapText="1"/>
      <protection hidden="1"/>
    </xf>
    <xf numFmtId="0" fontId="160" fillId="61" borderId="21" xfId="16" applyFont="1" applyFill="1" applyBorder="1" applyAlignment="1" applyProtection="1">
      <alignment horizontal="center" vertical="center" wrapText="1"/>
      <protection hidden="1"/>
    </xf>
    <xf numFmtId="0" fontId="113" fillId="20" borderId="0" xfId="5" applyFont="1" applyFill="1" applyAlignment="1">
      <alignment horizontal="left" vertical="center" wrapText="1"/>
    </xf>
    <xf numFmtId="0" fontId="53" fillId="0" borderId="11" xfId="5" applyFont="1" applyBorder="1" applyAlignment="1" applyProtection="1">
      <alignment horizontal="center" vertical="center" wrapText="1"/>
      <protection hidden="1"/>
    </xf>
    <xf numFmtId="0" fontId="53" fillId="0" borderId="4" xfId="5" applyFont="1" applyBorder="1" applyAlignment="1" applyProtection="1">
      <alignment horizontal="center" vertical="center" wrapText="1"/>
      <protection hidden="1"/>
    </xf>
    <xf numFmtId="0" fontId="53" fillId="0" borderId="22" xfId="5" applyFont="1" applyBorder="1" applyAlignment="1" applyProtection="1">
      <alignment horizontal="center" vertical="center" wrapText="1"/>
      <protection hidden="1"/>
    </xf>
    <xf numFmtId="0" fontId="53" fillId="0" borderId="20" xfId="5" applyFont="1" applyBorder="1" applyAlignment="1" applyProtection="1">
      <alignment horizontal="justify" vertical="center" wrapText="1"/>
      <protection hidden="1"/>
    </xf>
    <xf numFmtId="0" fontId="53" fillId="0" borderId="14" xfId="5" applyFont="1" applyBorder="1" applyAlignment="1" applyProtection="1">
      <alignment horizontal="justify" vertical="center" wrapText="1"/>
      <protection hidden="1"/>
    </xf>
    <xf numFmtId="0" fontId="114" fillId="0" borderId="0" xfId="5" applyFont="1" applyAlignment="1">
      <alignment horizontal="left" vertical="center" wrapText="1"/>
    </xf>
    <xf numFmtId="0" fontId="157" fillId="61" borderId="102" xfId="0" applyFont="1" applyFill="1" applyBorder="1" applyAlignment="1" applyProtection="1">
      <alignment horizontal="center" vertical="center"/>
      <protection locked="0"/>
    </xf>
    <xf numFmtId="0" fontId="157" fillId="61" borderId="0" xfId="0" applyFont="1" applyFill="1" applyAlignment="1" applyProtection="1">
      <alignment horizontal="center" vertical="center"/>
      <protection locked="0"/>
    </xf>
    <xf numFmtId="0" fontId="157" fillId="61" borderId="26" xfId="0" applyFont="1" applyFill="1" applyBorder="1" applyAlignment="1" applyProtection="1">
      <alignment horizontal="center" vertical="center"/>
      <protection locked="0"/>
    </xf>
    <xf numFmtId="0" fontId="47" fillId="0" borderId="0" xfId="33" applyFont="1" applyFill="1" applyBorder="1" applyAlignment="1">
      <alignment horizontal="center" vertical="center" wrapText="1"/>
    </xf>
    <xf numFmtId="0" fontId="157" fillId="61" borderId="134" xfId="33" applyFont="1" applyFill="1" applyBorder="1" applyAlignment="1" applyProtection="1">
      <alignment horizontal="center" vertical="center" wrapText="1"/>
      <protection hidden="1"/>
    </xf>
    <xf numFmtId="0" fontId="157" fillId="61" borderId="191" xfId="33" applyFont="1" applyFill="1" applyBorder="1" applyAlignment="1" applyProtection="1">
      <alignment horizontal="center" vertical="center" wrapText="1"/>
      <protection hidden="1"/>
    </xf>
    <xf numFmtId="0" fontId="157" fillId="61" borderId="135" xfId="33" applyFont="1" applyFill="1" applyBorder="1" applyAlignment="1" applyProtection="1">
      <alignment horizontal="center" vertical="center" wrapText="1"/>
      <protection hidden="1"/>
    </xf>
    <xf numFmtId="0" fontId="51" fillId="61" borderId="48" xfId="33" applyFont="1" applyFill="1" applyBorder="1" applyAlignment="1" applyProtection="1">
      <alignment horizontal="center" vertical="center" wrapText="1"/>
      <protection hidden="1"/>
    </xf>
    <xf numFmtId="0" fontId="51" fillId="61" borderId="96" xfId="33" applyFont="1" applyFill="1" applyBorder="1" applyAlignment="1" applyProtection="1">
      <alignment horizontal="center" vertical="center" wrapText="1"/>
      <protection hidden="1"/>
    </xf>
    <xf numFmtId="0" fontId="51" fillId="61" borderId="11" xfId="33" applyFont="1" applyFill="1" applyBorder="1" applyAlignment="1" applyProtection="1">
      <alignment horizontal="center" vertical="center" wrapText="1"/>
      <protection hidden="1"/>
    </xf>
    <xf numFmtId="0" fontId="51" fillId="61" borderId="20" xfId="33" applyFont="1" applyFill="1" applyBorder="1" applyAlignment="1" applyProtection="1">
      <alignment horizontal="center" vertical="center" wrapText="1"/>
      <protection hidden="1"/>
    </xf>
    <xf numFmtId="0" fontId="51" fillId="61" borderId="8" xfId="33" applyFont="1" applyFill="1" applyBorder="1" applyAlignment="1" applyProtection="1">
      <alignment horizontal="center" vertical="center" wrapText="1"/>
      <protection hidden="1"/>
    </xf>
    <xf numFmtId="0" fontId="51" fillId="61" borderId="130" xfId="33" applyFont="1" applyFill="1" applyBorder="1" applyAlignment="1" applyProtection="1">
      <alignment horizontal="center" vertical="center" wrapText="1"/>
      <protection hidden="1"/>
    </xf>
    <xf numFmtId="0" fontId="157" fillId="61" borderId="8" xfId="33" applyFont="1" applyFill="1" applyBorder="1" applyAlignment="1" applyProtection="1">
      <alignment horizontal="center" vertical="center" wrapText="1"/>
      <protection hidden="1"/>
    </xf>
    <xf numFmtId="0" fontId="157" fillId="61" borderId="130" xfId="33" applyFont="1" applyFill="1" applyBorder="1" applyAlignment="1" applyProtection="1">
      <alignment horizontal="center" vertical="center" wrapText="1"/>
      <protection hidden="1"/>
    </xf>
    <xf numFmtId="0" fontId="114" fillId="20" borderId="2" xfId="5" applyFont="1" applyFill="1" applyBorder="1" applyAlignment="1">
      <alignment horizontal="center" vertical="center" wrapText="1"/>
    </xf>
    <xf numFmtId="0" fontId="155" fillId="61" borderId="0" xfId="0" applyFont="1" applyFill="1" applyAlignment="1" applyProtection="1">
      <alignment horizontal="center" vertical="center"/>
      <protection hidden="1"/>
    </xf>
    <xf numFmtId="0" fontId="25" fillId="0" borderId="0" xfId="0" applyFont="1" applyAlignment="1" applyProtection="1">
      <alignment horizontal="left" vertical="center"/>
      <protection hidden="1"/>
    </xf>
    <xf numFmtId="0" fontId="14" fillId="0" borderId="0" xfId="0" applyFont="1" applyAlignment="1">
      <alignment horizontal="center" vertical="center"/>
    </xf>
    <xf numFmtId="0" fontId="14" fillId="0" borderId="0" xfId="0" applyFont="1" applyAlignment="1" applyProtection="1">
      <alignment horizontal="center" vertical="center"/>
      <protection hidden="1"/>
    </xf>
    <xf numFmtId="0" fontId="73" fillId="0" borderId="156" xfId="0" applyFont="1" applyBorder="1" applyAlignment="1" applyProtection="1">
      <alignment horizontal="center" vertical="center" wrapText="1"/>
      <protection hidden="1"/>
    </xf>
    <xf numFmtId="0" fontId="73" fillId="0" borderId="160" xfId="0" applyFont="1" applyBorder="1" applyAlignment="1" applyProtection="1">
      <alignment horizontal="center" vertical="center" wrapText="1"/>
      <protection hidden="1"/>
    </xf>
    <xf numFmtId="0" fontId="73" fillId="0" borderId="159" xfId="0" applyFont="1" applyBorder="1" applyAlignment="1" applyProtection="1">
      <alignment horizontal="center" vertical="center" wrapText="1"/>
      <protection hidden="1"/>
    </xf>
    <xf numFmtId="0" fontId="73" fillId="0" borderId="31" xfId="0" applyFont="1" applyBorder="1" applyAlignment="1" applyProtection="1">
      <alignment horizontal="center" vertical="center" wrapText="1"/>
      <protection hidden="1"/>
    </xf>
    <xf numFmtId="0" fontId="73" fillId="0" borderId="33" xfId="0" applyFont="1" applyBorder="1" applyAlignment="1" applyProtection="1">
      <alignment horizontal="center" vertical="center" wrapText="1"/>
      <protection hidden="1"/>
    </xf>
    <xf numFmtId="0" fontId="73" fillId="0" borderId="35" xfId="0" applyFont="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54" fillId="0" borderId="0" xfId="0" applyFont="1" applyAlignment="1" applyProtection="1">
      <alignment horizontal="center" vertical="center"/>
      <protection hidden="1"/>
    </xf>
    <xf numFmtId="0" fontId="25" fillId="0" borderId="0" xfId="0" applyFont="1" applyAlignment="1" applyProtection="1">
      <alignment horizontal="left" vertical="center" wrapText="1"/>
      <protection hidden="1"/>
    </xf>
    <xf numFmtId="0" fontId="14" fillId="0" borderId="0" xfId="0" applyFont="1" applyAlignment="1" applyProtection="1">
      <alignment horizontal="center" vertical="center"/>
      <protection locked="0"/>
    </xf>
    <xf numFmtId="0" fontId="19" fillId="0" borderId="11" xfId="0" applyFont="1" applyBorder="1" applyAlignment="1" applyProtection="1">
      <alignment horizontal="center" vertical="center" wrapText="1"/>
      <protection hidden="1"/>
    </xf>
    <xf numFmtId="0" fontId="19" fillId="0" borderId="22" xfId="0" applyFont="1" applyBorder="1" applyAlignment="1" applyProtection="1">
      <alignment horizontal="center" vertical="center" wrapText="1"/>
      <protection hidden="1"/>
    </xf>
    <xf numFmtId="0" fontId="51" fillId="61" borderId="124" xfId="0" applyFont="1" applyFill="1" applyBorder="1" applyAlignment="1">
      <alignment horizontal="center" vertical="center" wrapText="1"/>
    </xf>
    <xf numFmtId="0" fontId="51" fillId="61" borderId="6" xfId="0" applyFont="1" applyFill="1" applyBorder="1" applyAlignment="1">
      <alignment horizontal="center" vertical="center" wrapText="1"/>
    </xf>
    <xf numFmtId="0" fontId="25" fillId="0" borderId="0" xfId="0" applyFont="1" applyAlignment="1">
      <alignment horizontal="right" vertical="center"/>
    </xf>
    <xf numFmtId="0" fontId="14" fillId="0" borderId="152" xfId="0" applyFont="1" applyBorder="1" applyAlignment="1" applyProtection="1">
      <alignment horizontal="center" vertical="center"/>
      <protection hidden="1"/>
    </xf>
    <xf numFmtId="0" fontId="47" fillId="0" borderId="4" xfId="0" applyFont="1" applyBorder="1" applyAlignment="1">
      <alignment horizontal="center" vertical="center" wrapText="1"/>
    </xf>
    <xf numFmtId="0" fontId="12" fillId="9" borderId="4" xfId="0" applyFont="1" applyFill="1" applyBorder="1" applyAlignment="1">
      <alignment horizontal="center" vertical="center"/>
    </xf>
    <xf numFmtId="41" fontId="47" fillId="9" borderId="4" xfId="0" applyNumberFormat="1" applyFont="1" applyFill="1" applyBorder="1" applyAlignment="1" applyProtection="1">
      <alignment horizontal="left" vertical="center" wrapText="1"/>
      <protection hidden="1"/>
    </xf>
    <xf numFmtId="14" fontId="47" fillId="9" borderId="4" xfId="0" applyNumberFormat="1" applyFont="1" applyFill="1" applyBorder="1" applyAlignment="1" applyProtection="1">
      <alignment horizontal="left" vertical="center" wrapText="1"/>
      <protection hidden="1"/>
    </xf>
    <xf numFmtId="0" fontId="19" fillId="9" borderId="11"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35" fillId="9" borderId="4" xfId="0" applyFont="1" applyFill="1" applyBorder="1" applyAlignment="1" applyProtection="1">
      <alignment horizontal="center" vertical="center"/>
      <protection hidden="1"/>
    </xf>
    <xf numFmtId="0" fontId="19" fillId="9" borderId="12" xfId="0" applyFont="1" applyFill="1" applyBorder="1" applyAlignment="1">
      <alignment horizontal="center" vertical="center" wrapText="1"/>
    </xf>
    <xf numFmtId="0" fontId="19" fillId="9" borderId="17" xfId="0" applyFont="1" applyFill="1" applyBorder="1" applyAlignment="1">
      <alignment horizontal="center" vertical="center" wrapText="1"/>
    </xf>
    <xf numFmtId="2" fontId="35" fillId="11" borderId="105" xfId="0" applyNumberFormat="1" applyFont="1" applyFill="1" applyBorder="1" applyAlignment="1" applyProtection="1">
      <alignment horizontal="center" vertical="center" wrapText="1"/>
      <protection hidden="1"/>
    </xf>
    <xf numFmtId="2" fontId="35" fillId="11" borderId="107" xfId="0" applyNumberFormat="1" applyFont="1" applyFill="1" applyBorder="1" applyAlignment="1" applyProtection="1">
      <alignment horizontal="center" vertical="center" wrapText="1"/>
      <protection hidden="1"/>
    </xf>
    <xf numFmtId="10" fontId="25" fillId="33" borderId="163" xfId="2" applyNumberFormat="1" applyFont="1" applyFill="1" applyBorder="1" applyAlignment="1" applyProtection="1">
      <alignment horizontal="center" vertical="center" wrapText="1"/>
      <protection hidden="1"/>
    </xf>
    <xf numFmtId="0" fontId="25" fillId="71" borderId="100" xfId="0" applyFont="1" applyFill="1" applyBorder="1" applyAlignment="1" applyProtection="1">
      <alignment horizontal="center" vertical="center" wrapText="1"/>
      <protection hidden="1"/>
    </xf>
    <xf numFmtId="0" fontId="25" fillId="71" borderId="101" xfId="0" applyFont="1" applyFill="1" applyBorder="1" applyAlignment="1" applyProtection="1">
      <alignment horizontal="center" vertical="center" wrapText="1"/>
      <protection hidden="1"/>
    </xf>
    <xf numFmtId="0" fontId="25" fillId="71" borderId="169" xfId="0" applyFont="1" applyFill="1" applyBorder="1" applyAlignment="1" applyProtection="1">
      <alignment horizontal="center" vertical="center" wrapText="1"/>
      <protection hidden="1"/>
    </xf>
    <xf numFmtId="0" fontId="25" fillId="71" borderId="196" xfId="0" applyFont="1" applyFill="1" applyBorder="1" applyAlignment="1" applyProtection="1">
      <alignment horizontal="center" vertical="center" wrapText="1"/>
      <protection hidden="1"/>
    </xf>
    <xf numFmtId="2" fontId="74" fillId="71" borderId="198" xfId="0" applyNumberFormat="1" applyFont="1" applyFill="1" applyBorder="1" applyAlignment="1" applyProtection="1">
      <alignment horizontal="center" vertical="center" wrapText="1"/>
      <protection hidden="1"/>
    </xf>
    <xf numFmtId="2" fontId="74" fillId="71" borderId="197" xfId="0" applyNumberFormat="1" applyFont="1" applyFill="1" applyBorder="1" applyAlignment="1" applyProtection="1">
      <alignment horizontal="center" vertical="center" wrapText="1"/>
      <protection hidden="1"/>
    </xf>
    <xf numFmtId="2" fontId="35" fillId="46" borderId="105" xfId="0" applyNumberFormat="1" applyFont="1" applyFill="1" applyBorder="1" applyAlignment="1" applyProtection="1">
      <alignment horizontal="center" vertical="center" wrapText="1"/>
      <protection hidden="1"/>
    </xf>
    <xf numFmtId="2" fontId="35" fillId="46" borderId="107" xfId="0" applyNumberFormat="1" applyFont="1" applyFill="1" applyBorder="1" applyAlignment="1" applyProtection="1">
      <alignment horizontal="center" vertical="center" wrapText="1"/>
      <protection hidden="1"/>
    </xf>
    <xf numFmtId="0" fontId="35" fillId="46" borderId="200" xfId="0" applyFont="1" applyFill="1" applyBorder="1" applyAlignment="1" applyProtection="1">
      <alignment horizontal="center" vertical="center" wrapText="1"/>
      <protection hidden="1"/>
    </xf>
    <xf numFmtId="0" fontId="35" fillId="46" borderId="169" xfId="0" applyFont="1" applyFill="1" applyBorder="1" applyAlignment="1" applyProtection="1">
      <alignment horizontal="center" vertical="center" wrapText="1"/>
      <protection hidden="1"/>
    </xf>
    <xf numFmtId="0" fontId="35" fillId="46" borderId="194" xfId="0" applyFont="1" applyFill="1" applyBorder="1" applyAlignment="1" applyProtection="1">
      <alignment horizontal="center" vertical="center" wrapText="1"/>
      <protection hidden="1"/>
    </xf>
    <xf numFmtId="0" fontId="35" fillId="11" borderId="201" xfId="0" applyFont="1" applyFill="1" applyBorder="1" applyAlignment="1" applyProtection="1">
      <alignment horizontal="center" vertical="center" wrapText="1"/>
      <protection hidden="1"/>
    </xf>
    <xf numFmtId="0" fontId="35" fillId="11" borderId="13" xfId="0" applyFont="1" applyFill="1" applyBorder="1" applyAlignment="1" applyProtection="1">
      <alignment horizontal="center" vertical="center" wrapText="1"/>
      <protection hidden="1"/>
    </xf>
    <xf numFmtId="0" fontId="35" fillId="11" borderId="202" xfId="0" applyFont="1" applyFill="1" applyBorder="1" applyAlignment="1" applyProtection="1">
      <alignment horizontal="center" vertical="center" wrapText="1"/>
      <protection hidden="1"/>
    </xf>
    <xf numFmtId="0" fontId="35" fillId="46" borderId="205" xfId="0" applyFont="1" applyFill="1" applyBorder="1" applyAlignment="1" applyProtection="1">
      <alignment horizontal="center" vertical="center" wrapText="1"/>
      <protection hidden="1"/>
    </xf>
    <xf numFmtId="0" fontId="35" fillId="46" borderId="206" xfId="0" applyFont="1" applyFill="1" applyBorder="1" applyAlignment="1" applyProtection="1">
      <alignment horizontal="center" vertical="center" wrapText="1"/>
      <protection hidden="1"/>
    </xf>
    <xf numFmtId="0" fontId="35" fillId="71" borderId="208" xfId="0" applyFont="1" applyFill="1" applyBorder="1" applyAlignment="1" applyProtection="1">
      <alignment horizontal="center" vertical="center" wrapText="1"/>
      <protection hidden="1"/>
    </xf>
    <xf numFmtId="0" fontId="35" fillId="71" borderId="194" xfId="0" applyFont="1" applyFill="1" applyBorder="1" applyAlignment="1" applyProtection="1">
      <alignment horizontal="center" vertical="center" wrapText="1"/>
      <protection hidden="1"/>
    </xf>
    <xf numFmtId="0" fontId="35" fillId="71" borderId="104" xfId="0" applyFont="1" applyFill="1" applyBorder="1" applyAlignment="1" applyProtection="1">
      <alignment horizontal="center" vertical="center" wrapText="1"/>
      <protection hidden="1"/>
    </xf>
    <xf numFmtId="0" fontId="35" fillId="71" borderId="106" xfId="0" applyFont="1" applyFill="1" applyBorder="1" applyAlignment="1" applyProtection="1">
      <alignment horizontal="center" vertical="center" wrapText="1"/>
      <protection hidden="1"/>
    </xf>
    <xf numFmtId="0" fontId="74" fillId="11" borderId="105" xfId="0" applyFont="1" applyFill="1" applyBorder="1" applyAlignment="1" applyProtection="1">
      <alignment horizontal="center" vertical="center" wrapText="1"/>
      <protection hidden="1"/>
    </xf>
    <xf numFmtId="0" fontId="74" fillId="11" borderId="107" xfId="0" applyFont="1" applyFill="1" applyBorder="1" applyAlignment="1" applyProtection="1">
      <alignment horizontal="center" vertical="center" wrapText="1"/>
      <protection hidden="1"/>
    </xf>
    <xf numFmtId="179" fontId="14" fillId="9" borderId="9" xfId="0" applyNumberFormat="1" applyFont="1" applyFill="1" applyBorder="1" applyAlignment="1" applyProtection="1">
      <alignment horizontal="center" vertical="center"/>
      <protection locked="0"/>
    </xf>
    <xf numFmtId="179" fontId="14" fillId="9" borderId="21" xfId="0" applyNumberFormat="1" applyFont="1" applyFill="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14" fontId="47" fillId="9" borderId="4" xfId="0" applyNumberFormat="1" applyFont="1" applyFill="1" applyBorder="1" applyAlignment="1" applyProtection="1">
      <alignment horizontal="justify"/>
      <protection hidden="1"/>
    </xf>
    <xf numFmtId="0" fontId="11" fillId="13" borderId="0" xfId="16" applyFont="1" applyFill="1" applyBorder="1" applyAlignment="1" applyProtection="1">
      <alignment horizontal="center" vertical="center" wrapText="1"/>
      <protection hidden="1"/>
    </xf>
    <xf numFmtId="0" fontId="35" fillId="46" borderId="199" xfId="0" applyFont="1" applyFill="1" applyBorder="1" applyAlignment="1" applyProtection="1">
      <alignment horizontal="center" vertical="center" wrapText="1"/>
      <protection hidden="1"/>
    </xf>
    <xf numFmtId="0" fontId="35" fillId="46" borderId="106" xfId="0" applyFont="1" applyFill="1" applyBorder="1" applyAlignment="1" applyProtection="1">
      <alignment horizontal="center" vertical="center" wrapText="1"/>
      <protection hidden="1"/>
    </xf>
    <xf numFmtId="10" fontId="25" fillId="9" borderId="9" xfId="2" applyNumberFormat="1" applyFont="1" applyFill="1" applyBorder="1" applyAlignment="1" applyProtection="1">
      <alignment horizontal="center" vertical="center" wrapText="1"/>
      <protection hidden="1"/>
    </xf>
    <xf numFmtId="10" fontId="25" fillId="9" borderId="86" xfId="2" applyNumberFormat="1" applyFont="1" applyFill="1" applyBorder="1" applyAlignment="1" applyProtection="1">
      <alignment horizontal="center" vertical="center" wrapText="1"/>
      <protection hidden="1"/>
    </xf>
    <xf numFmtId="170" fontId="25" fillId="11" borderId="136" xfId="2" applyNumberFormat="1" applyFont="1" applyFill="1" applyBorder="1" applyAlignment="1" applyProtection="1">
      <alignment horizontal="center" vertical="center" wrapText="1"/>
      <protection hidden="1"/>
    </xf>
    <xf numFmtId="170" fontId="25" fillId="11" borderId="50" xfId="2" applyNumberFormat="1" applyFont="1" applyFill="1" applyBorder="1" applyAlignment="1" applyProtection="1">
      <alignment horizontal="center" vertical="center" wrapText="1"/>
      <protection hidden="1"/>
    </xf>
    <xf numFmtId="170" fontId="25" fillId="64" borderId="207" xfId="2" applyNumberFormat="1" applyFont="1" applyFill="1" applyBorder="1" applyAlignment="1" applyProtection="1">
      <alignment horizontal="center" vertical="center" wrapText="1"/>
      <protection hidden="1"/>
    </xf>
    <xf numFmtId="170" fontId="25" fillId="64" borderId="136" xfId="2" applyNumberFormat="1" applyFont="1" applyFill="1" applyBorder="1" applyAlignment="1" applyProtection="1">
      <alignment horizontal="center" vertical="center" wrapText="1"/>
      <protection hidden="1"/>
    </xf>
    <xf numFmtId="170" fontId="25" fillId="64" borderId="50" xfId="2" applyNumberFormat="1" applyFont="1" applyFill="1" applyBorder="1" applyAlignment="1" applyProtection="1">
      <alignment horizontal="center" vertical="center" wrapText="1"/>
      <protection hidden="1"/>
    </xf>
    <xf numFmtId="170" fontId="25" fillId="11" borderId="29" xfId="2" applyNumberFormat="1" applyFont="1" applyFill="1" applyBorder="1" applyAlignment="1" applyProtection="1">
      <alignment horizontal="left" vertical="center" wrapText="1"/>
      <protection hidden="1"/>
    </xf>
    <xf numFmtId="170" fontId="25" fillId="11" borderId="49" xfId="2" applyNumberFormat="1" applyFont="1" applyFill="1" applyBorder="1" applyAlignment="1" applyProtection="1">
      <alignment horizontal="left" vertical="center" wrapText="1"/>
      <protection hidden="1"/>
    </xf>
    <xf numFmtId="170" fontId="25" fillId="9" borderId="173" xfId="2" applyNumberFormat="1" applyFont="1" applyFill="1" applyBorder="1" applyAlignment="1" applyProtection="1">
      <alignment horizontal="center" vertical="center" wrapText="1"/>
      <protection hidden="1"/>
    </xf>
    <xf numFmtId="170" fontId="25" fillId="9" borderId="169" xfId="2" applyNumberFormat="1" applyFont="1" applyFill="1" applyBorder="1" applyAlignment="1" applyProtection="1">
      <alignment horizontal="center" vertical="center" wrapText="1"/>
      <protection hidden="1"/>
    </xf>
    <xf numFmtId="0" fontId="10" fillId="9" borderId="19" xfId="9" applyFont="1" applyFill="1" applyBorder="1" applyAlignment="1">
      <alignment horizontal="center" vertical="center"/>
    </xf>
    <xf numFmtId="0" fontId="74" fillId="34" borderId="4" xfId="0" applyFont="1" applyFill="1" applyBorder="1" applyAlignment="1" applyProtection="1">
      <alignment horizontal="center" vertical="center" wrapText="1"/>
      <protection hidden="1"/>
    </xf>
    <xf numFmtId="10" fontId="25" fillId="33" borderId="27" xfId="2" applyNumberFormat="1" applyFont="1" applyFill="1" applyBorder="1" applyAlignment="1" applyProtection="1">
      <alignment horizontal="center" vertical="center" wrapText="1"/>
      <protection hidden="1"/>
    </xf>
    <xf numFmtId="10" fontId="25" fillId="33" borderId="48" xfId="2" applyNumberFormat="1" applyFont="1" applyFill="1" applyBorder="1" applyAlignment="1" applyProtection="1">
      <alignment horizontal="center" vertical="center" wrapText="1"/>
      <protection hidden="1"/>
    </xf>
    <xf numFmtId="0" fontId="74" fillId="9" borderId="105" xfId="0" applyFont="1" applyFill="1" applyBorder="1" applyAlignment="1" applyProtection="1">
      <alignment horizontal="center" vertical="center" wrapText="1"/>
      <protection hidden="1"/>
    </xf>
    <xf numFmtId="0" fontId="74" fillId="9" borderId="107" xfId="0" applyFont="1" applyFill="1" applyBorder="1" applyAlignment="1" applyProtection="1">
      <alignment horizontal="center" vertical="center" wrapText="1"/>
      <protection hidden="1"/>
    </xf>
    <xf numFmtId="170" fontId="25" fillId="11" borderId="48" xfId="2" applyNumberFormat="1" applyFont="1" applyFill="1" applyBorder="1" applyAlignment="1" applyProtection="1">
      <alignment horizontal="left" vertical="center" wrapText="1"/>
      <protection hidden="1"/>
    </xf>
    <xf numFmtId="170" fontId="25" fillId="11" borderId="21" xfId="2" applyNumberFormat="1" applyFont="1" applyFill="1" applyBorder="1" applyAlignment="1" applyProtection="1">
      <alignment horizontal="left" vertical="center" wrapText="1"/>
      <protection hidden="1"/>
    </xf>
    <xf numFmtId="170" fontId="39" fillId="11" borderId="11" xfId="2" applyNumberFormat="1" applyFont="1" applyFill="1" applyBorder="1" applyAlignment="1" applyProtection="1">
      <alignment horizontal="center" vertical="center" wrapText="1"/>
      <protection hidden="1"/>
    </xf>
    <xf numFmtId="170" fontId="39" fillId="11" borderId="27" xfId="2" applyNumberFormat="1" applyFont="1" applyFill="1" applyBorder="1" applyAlignment="1" applyProtection="1">
      <alignment horizontal="center" vertical="center" wrapText="1"/>
      <protection hidden="1"/>
    </xf>
    <xf numFmtId="170" fontId="39" fillId="11" borderId="4" xfId="2" applyNumberFormat="1" applyFont="1" applyFill="1" applyBorder="1" applyAlignment="1" applyProtection="1">
      <alignment horizontal="center" vertical="center" wrapText="1"/>
      <protection hidden="1"/>
    </xf>
    <xf numFmtId="170" fontId="39" fillId="11" borderId="9" xfId="2" applyNumberFormat="1" applyFont="1" applyFill="1" applyBorder="1" applyAlignment="1" applyProtection="1">
      <alignment horizontal="center" vertical="center" wrapText="1"/>
      <protection hidden="1"/>
    </xf>
    <xf numFmtId="170" fontId="25" fillId="64" borderId="10" xfId="2" applyNumberFormat="1" applyFont="1" applyFill="1" applyBorder="1" applyAlignment="1" applyProtection="1">
      <alignment horizontal="left" vertical="center" wrapText="1"/>
      <protection hidden="1"/>
    </xf>
    <xf numFmtId="170" fontId="25" fillId="64" borderId="16" xfId="2" applyNumberFormat="1" applyFont="1" applyFill="1" applyBorder="1" applyAlignment="1" applyProtection="1">
      <alignment horizontal="left" vertical="center" wrapText="1"/>
      <protection hidden="1"/>
    </xf>
    <xf numFmtId="170" fontId="39" fillId="64" borderId="11" xfId="2" applyNumberFormat="1" applyFont="1" applyFill="1" applyBorder="1" applyAlignment="1" applyProtection="1">
      <alignment horizontal="center" vertical="center" wrapText="1"/>
      <protection hidden="1"/>
    </xf>
    <xf numFmtId="170" fontId="39" fillId="64" borderId="12" xfId="2" applyNumberFormat="1" applyFont="1" applyFill="1" applyBorder="1" applyAlignment="1" applyProtection="1">
      <alignment horizontal="center" vertical="center" wrapText="1"/>
      <protection hidden="1"/>
    </xf>
    <xf numFmtId="170" fontId="39" fillId="64" borderId="4" xfId="2" applyNumberFormat="1" applyFont="1" applyFill="1" applyBorder="1" applyAlignment="1" applyProtection="1">
      <alignment horizontal="center" vertical="center" wrapText="1"/>
      <protection hidden="1"/>
    </xf>
    <xf numFmtId="170" fontId="39" fillId="64" borderId="17" xfId="2" applyNumberFormat="1" applyFont="1" applyFill="1" applyBorder="1" applyAlignment="1" applyProtection="1">
      <alignment horizontal="center" vertical="center" wrapText="1"/>
      <protection hidden="1"/>
    </xf>
    <xf numFmtId="0" fontId="19" fillId="9" borderId="10" xfId="0" applyFont="1" applyFill="1" applyBorder="1" applyAlignment="1">
      <alignment horizontal="center" vertical="center" wrapText="1"/>
    </xf>
    <xf numFmtId="0" fontId="19" fillId="9" borderId="16" xfId="0" applyFont="1" applyFill="1" applyBorder="1" applyAlignment="1">
      <alignment horizontal="center" vertical="center" wrapText="1"/>
    </xf>
    <xf numFmtId="0" fontId="35" fillId="11" borderId="9" xfId="0" applyFont="1" applyFill="1" applyBorder="1" applyAlignment="1" applyProtection="1">
      <alignment horizontal="center" vertical="center"/>
      <protection hidden="1"/>
    </xf>
    <xf numFmtId="0" fontId="35" fillId="11" borderId="13" xfId="0" applyFont="1" applyFill="1" applyBorder="1" applyAlignment="1" applyProtection="1">
      <alignment horizontal="center" vertical="center"/>
      <protection hidden="1"/>
    </xf>
    <xf numFmtId="0" fontId="35" fillId="11" borderId="21" xfId="0" applyFont="1" applyFill="1" applyBorder="1" applyAlignment="1" applyProtection="1">
      <alignment horizontal="center" vertical="center"/>
      <protection hidden="1"/>
    </xf>
    <xf numFmtId="170" fontId="25" fillId="64" borderId="204" xfId="2" applyNumberFormat="1" applyFont="1" applyFill="1" applyBorder="1" applyAlignment="1" applyProtection="1">
      <alignment horizontal="left" vertical="center" wrapText="1"/>
      <protection hidden="1"/>
    </xf>
    <xf numFmtId="170" fontId="25" fillId="64" borderId="200" xfId="2" applyNumberFormat="1" applyFont="1" applyFill="1" applyBorder="1" applyAlignment="1" applyProtection="1">
      <alignment horizontal="left" vertical="center" wrapText="1"/>
      <protection hidden="1"/>
    </xf>
    <xf numFmtId="170" fontId="25" fillId="9" borderId="94" xfId="2" applyNumberFormat="1" applyFont="1" applyFill="1" applyBorder="1" applyAlignment="1" applyProtection="1">
      <alignment horizontal="center" vertical="center" wrapText="1"/>
      <protection hidden="1"/>
    </xf>
    <xf numFmtId="170" fontId="25" fillId="9" borderId="195" xfId="2" applyNumberFormat="1" applyFont="1" applyFill="1" applyBorder="1" applyAlignment="1" applyProtection="1">
      <alignment horizontal="center" vertical="center" wrapText="1"/>
      <protection hidden="1"/>
    </xf>
    <xf numFmtId="170" fontId="25" fillId="9" borderId="164" xfId="2" applyNumberFormat="1" applyFont="1" applyFill="1" applyBorder="1" applyAlignment="1" applyProtection="1">
      <alignment horizontal="center" vertical="center" wrapText="1"/>
      <protection hidden="1"/>
    </xf>
    <xf numFmtId="170" fontId="25" fillId="9" borderId="196" xfId="2" applyNumberFormat="1" applyFont="1" applyFill="1" applyBorder="1" applyAlignment="1" applyProtection="1">
      <alignment horizontal="center" vertical="center" wrapText="1"/>
      <protection hidden="1"/>
    </xf>
    <xf numFmtId="10" fontId="25" fillId="33" borderId="87" xfId="2" applyNumberFormat="1" applyFont="1" applyFill="1" applyBorder="1" applyAlignment="1" applyProtection="1">
      <alignment horizontal="center" vertical="center" wrapText="1"/>
      <protection hidden="1"/>
    </xf>
    <xf numFmtId="0" fontId="35" fillId="34" borderId="4" xfId="0" applyFont="1" applyFill="1" applyBorder="1" applyAlignment="1" applyProtection="1">
      <alignment horizontal="center" vertical="center" wrapText="1"/>
      <protection hidden="1"/>
    </xf>
    <xf numFmtId="0" fontId="35" fillId="34" borderId="17" xfId="0" applyFont="1" applyFill="1" applyBorder="1" applyAlignment="1" applyProtection="1">
      <alignment horizontal="center" vertical="center" wrapText="1"/>
      <protection hidden="1"/>
    </xf>
    <xf numFmtId="180" fontId="35" fillId="9" borderId="188" xfId="18" applyNumberFormat="1" applyFont="1" applyFill="1" applyBorder="1" applyAlignment="1" applyProtection="1">
      <alignment horizontal="center" vertical="center" wrapText="1"/>
      <protection hidden="1"/>
    </xf>
    <xf numFmtId="180" fontId="35" fillId="9" borderId="189" xfId="18" applyNumberFormat="1" applyFont="1" applyFill="1" applyBorder="1" applyAlignment="1" applyProtection="1">
      <alignment horizontal="center" vertical="center" wrapText="1"/>
      <protection hidden="1"/>
    </xf>
    <xf numFmtId="0" fontId="35" fillId="9" borderId="201" xfId="0" applyFont="1" applyFill="1" applyBorder="1" applyAlignment="1" applyProtection="1">
      <alignment horizontal="center" vertical="center" wrapText="1"/>
      <protection hidden="1"/>
    </xf>
    <xf numFmtId="0" fontId="35" fillId="9" borderId="13" xfId="0" applyFont="1" applyFill="1" applyBorder="1" applyAlignment="1" applyProtection="1">
      <alignment horizontal="center" vertical="center" wrapText="1"/>
      <protection hidden="1"/>
    </xf>
    <xf numFmtId="0" fontId="35" fillId="9" borderId="21" xfId="0" applyFont="1" applyFill="1" applyBorder="1" applyAlignment="1" applyProtection="1">
      <alignment horizontal="center" vertical="center" wrapText="1"/>
      <protection hidden="1"/>
    </xf>
    <xf numFmtId="0" fontId="10" fillId="52" borderId="145" xfId="9" applyFont="1" applyFill="1" applyBorder="1" applyAlignment="1">
      <alignment horizontal="center" vertical="center"/>
    </xf>
    <xf numFmtId="0" fontId="10" fillId="52" borderId="146" xfId="9" applyFont="1" applyFill="1" applyBorder="1" applyAlignment="1">
      <alignment horizontal="center" vertical="center"/>
    </xf>
    <xf numFmtId="0" fontId="10" fillId="52" borderId="147" xfId="9" applyFont="1" applyFill="1" applyBorder="1" applyAlignment="1">
      <alignment horizontal="center" vertical="center"/>
    </xf>
    <xf numFmtId="0" fontId="0" fillId="0" borderId="158" xfId="0" applyBorder="1" applyAlignment="1">
      <alignment horizontal="center" vertical="center"/>
    </xf>
    <xf numFmtId="0" fontId="0" fillId="0" borderId="14" xfId="0" applyBorder="1" applyAlignment="1">
      <alignment horizontal="center" vertical="center"/>
    </xf>
    <xf numFmtId="0" fontId="47" fillId="0" borderId="9" xfId="0" applyFont="1" applyBorder="1" applyAlignment="1" applyProtection="1">
      <alignment horizontal="left" vertical="center" wrapText="1"/>
      <protection locked="0" hidden="1"/>
    </xf>
    <xf numFmtId="0" fontId="47" fillId="0" borderId="21" xfId="0" applyFont="1" applyBorder="1" applyAlignment="1" applyProtection="1">
      <alignment horizontal="left" vertical="center" wrapText="1"/>
      <protection locked="0" hidden="1"/>
    </xf>
    <xf numFmtId="0" fontId="47" fillId="0" borderId="9" xfId="0" applyFont="1" applyBorder="1" applyAlignment="1" applyProtection="1">
      <alignment horizontal="left" vertical="center"/>
      <protection hidden="1"/>
    </xf>
    <xf numFmtId="0" fontId="47" fillId="0" borderId="21" xfId="0" applyFont="1" applyBorder="1" applyAlignment="1" applyProtection="1">
      <alignment horizontal="left" vertical="center"/>
      <protection hidden="1"/>
    </xf>
    <xf numFmtId="0" fontId="147" fillId="51" borderId="14" xfId="5" applyFont="1" applyFill="1" applyBorder="1" applyAlignment="1">
      <alignment horizontal="center"/>
    </xf>
    <xf numFmtId="0" fontId="14" fillId="0" borderId="33" xfId="0" applyFont="1" applyBorder="1" applyAlignment="1">
      <alignment horizontal="left" vertical="center"/>
    </xf>
    <xf numFmtId="41" fontId="14" fillId="0" borderId="13" xfId="0" applyNumberFormat="1" applyFont="1" applyBorder="1" applyAlignment="1">
      <alignment horizontal="left" vertical="center" wrapText="1"/>
    </xf>
    <xf numFmtId="0" fontId="14" fillId="0" borderId="13" xfId="0" applyFont="1" applyBorder="1" applyAlignment="1">
      <alignment horizontal="left" vertical="center" wrapText="1"/>
    </xf>
    <xf numFmtId="0" fontId="14" fillId="0" borderId="13" xfId="0" applyFont="1" applyBorder="1" applyAlignment="1">
      <alignment horizontal="left" vertical="center"/>
    </xf>
    <xf numFmtId="14" fontId="14" fillId="0" borderId="13" xfId="0" applyNumberFormat="1" applyFont="1" applyBorder="1" applyAlignment="1">
      <alignment horizontal="left" vertical="center"/>
    </xf>
    <xf numFmtId="0" fontId="28" fillId="52" borderId="4" xfId="9" applyFont="1" applyFill="1" applyBorder="1" applyAlignment="1" applyProtection="1">
      <alignment horizontal="center" vertical="center" wrapText="1"/>
      <protection hidden="1"/>
    </xf>
    <xf numFmtId="0" fontId="28" fillId="52" borderId="63" xfId="9" applyFont="1" applyFill="1" applyBorder="1" applyAlignment="1" applyProtection="1">
      <alignment horizontal="center" vertical="center" wrapText="1"/>
      <protection hidden="1"/>
    </xf>
    <xf numFmtId="0" fontId="29" fillId="50" borderId="4" xfId="6" applyNumberFormat="1" applyFont="1" applyFill="1" applyBorder="1" applyAlignment="1">
      <alignment horizontal="center" vertical="center"/>
    </xf>
    <xf numFmtId="0" fontId="29" fillId="50" borderId="63" xfId="6" applyNumberFormat="1" applyFont="1" applyFill="1" applyBorder="1" applyAlignment="1">
      <alignment horizontal="center" vertical="center"/>
    </xf>
    <xf numFmtId="0" fontId="29" fillId="50" borderId="111" xfId="6" applyNumberFormat="1" applyFont="1" applyFill="1" applyBorder="1" applyAlignment="1">
      <alignment horizontal="center" vertical="center"/>
    </xf>
    <xf numFmtId="0" fontId="29" fillId="50" borderId="203" xfId="6" applyNumberFormat="1" applyFont="1" applyFill="1" applyBorder="1" applyAlignment="1">
      <alignment horizontal="center" vertical="center"/>
    </xf>
    <xf numFmtId="0" fontId="147" fillId="51" borderId="97" xfId="5" applyFont="1" applyFill="1" applyBorder="1" applyAlignment="1">
      <alignment horizontal="center" vertical="center"/>
    </xf>
    <xf numFmtId="0" fontId="147" fillId="51" borderId="98" xfId="5" applyFont="1" applyFill="1" applyBorder="1" applyAlignment="1">
      <alignment horizontal="center" vertical="center"/>
    </xf>
    <xf numFmtId="0" fontId="147" fillId="51" borderId="2" xfId="5" applyFont="1" applyFill="1" applyBorder="1" applyAlignment="1">
      <alignment horizontal="center" vertical="center"/>
    </xf>
    <xf numFmtId="0" fontId="147" fillId="51" borderId="5" xfId="5" applyFont="1" applyFill="1" applyBorder="1" applyAlignment="1">
      <alignment horizontal="center" vertical="center"/>
    </xf>
    <xf numFmtId="0" fontId="59" fillId="50" borderId="4" xfId="5" applyFont="1" applyFill="1" applyBorder="1" applyAlignment="1">
      <alignment horizontal="center" vertical="center" wrapText="1"/>
    </xf>
    <xf numFmtId="0" fontId="59" fillId="50" borderId="22" xfId="5" applyFont="1" applyFill="1" applyBorder="1" applyAlignment="1">
      <alignment horizontal="center" vertical="center" wrapText="1"/>
    </xf>
    <xf numFmtId="0" fontId="22" fillId="0" borderId="185" xfId="0" applyFont="1" applyBorder="1" applyAlignment="1" applyProtection="1">
      <alignment horizontal="center" vertical="center" wrapText="1"/>
      <protection hidden="1"/>
    </xf>
    <xf numFmtId="0" fontId="22" fillId="0" borderId="186" xfId="0" applyFont="1" applyBorder="1" applyAlignment="1" applyProtection="1">
      <alignment horizontal="center" vertical="center" wrapText="1"/>
      <protection hidden="1"/>
    </xf>
    <xf numFmtId="0" fontId="22" fillId="0" borderId="187" xfId="0" applyFont="1" applyBorder="1" applyAlignment="1" applyProtection="1">
      <alignment horizontal="center" vertical="center" wrapText="1"/>
      <protection hidden="1"/>
    </xf>
    <xf numFmtId="0" fontId="22" fillId="0" borderId="182" xfId="0" applyFont="1" applyBorder="1" applyAlignment="1" applyProtection="1">
      <alignment horizontal="center" vertical="center" wrapText="1"/>
      <protection hidden="1"/>
    </xf>
    <xf numFmtId="0" fontId="22" fillId="0" borderId="183" xfId="0" applyFont="1" applyBorder="1" applyAlignment="1" applyProtection="1">
      <alignment horizontal="center" vertical="center" wrapText="1"/>
      <protection hidden="1"/>
    </xf>
    <xf numFmtId="0" fontId="22" fillId="0" borderId="184" xfId="0" applyFont="1" applyBorder="1" applyAlignment="1" applyProtection="1">
      <alignment horizontal="center" vertical="center" wrapText="1"/>
      <protection hidden="1"/>
    </xf>
    <xf numFmtId="0" fontId="22" fillId="13" borderId="0" xfId="0" applyFont="1" applyFill="1" applyAlignment="1" applyProtection="1">
      <alignment horizontal="center"/>
      <protection hidden="1"/>
    </xf>
    <xf numFmtId="0" fontId="30" fillId="0" borderId="59" xfId="0" applyFont="1" applyBorder="1" applyAlignment="1">
      <alignment horizontal="left"/>
    </xf>
    <xf numFmtId="0" fontId="30" fillId="0" borderId="60" xfId="0" applyFont="1" applyBorder="1" applyAlignment="1">
      <alignment horizontal="left"/>
    </xf>
    <xf numFmtId="0" fontId="30" fillId="0" borderId="62" xfId="0" applyFont="1" applyBorder="1" applyAlignment="1">
      <alignment horizontal="left"/>
    </xf>
    <xf numFmtId="0" fontId="30" fillId="0" borderId="4" xfId="0" applyFont="1" applyBorder="1" applyAlignment="1">
      <alignment horizontal="left"/>
    </xf>
    <xf numFmtId="41" fontId="14" fillId="0" borderId="33" xfId="0" applyNumberFormat="1" applyFont="1" applyBorder="1" applyAlignment="1" applyProtection="1">
      <alignment horizontal="left"/>
      <protection hidden="1"/>
    </xf>
    <xf numFmtId="0" fontId="14" fillId="0" borderId="33" xfId="0" applyFont="1" applyBorder="1" applyAlignment="1" applyProtection="1">
      <alignment horizontal="left"/>
      <protection hidden="1"/>
    </xf>
    <xf numFmtId="0" fontId="73" fillId="0" borderId="9" xfId="0" applyFont="1" applyBorder="1" applyAlignment="1" applyProtection="1">
      <alignment horizontal="center" vertical="center" wrapText="1"/>
      <protection hidden="1"/>
    </xf>
    <xf numFmtId="0" fontId="73" fillId="0" borderId="13" xfId="0" applyFont="1" applyBorder="1" applyAlignment="1" applyProtection="1">
      <alignment horizontal="center" vertical="center" wrapText="1"/>
      <protection hidden="1"/>
    </xf>
    <xf numFmtId="0" fontId="73" fillId="0" borderId="21" xfId="0" applyFont="1" applyBorder="1" applyAlignment="1" applyProtection="1">
      <alignment horizontal="center" vertical="center" wrapText="1"/>
      <protection hidden="1"/>
    </xf>
    <xf numFmtId="0" fontId="14" fillId="13" borderId="33" xfId="0" applyFont="1" applyFill="1" applyBorder="1" applyAlignment="1" applyProtection="1">
      <alignment horizontal="left"/>
      <protection hidden="1"/>
    </xf>
    <xf numFmtId="14" fontId="14" fillId="13" borderId="13" xfId="0" applyNumberFormat="1" applyFont="1" applyFill="1" applyBorder="1" applyAlignment="1" applyProtection="1">
      <alignment horizontal="left"/>
      <protection hidden="1"/>
    </xf>
    <xf numFmtId="0" fontId="14" fillId="13" borderId="13" xfId="0" applyFont="1" applyFill="1" applyBorder="1" applyAlignment="1" applyProtection="1">
      <alignment horizontal="left"/>
      <protection hidden="1"/>
    </xf>
    <xf numFmtId="0" fontId="37" fillId="9" borderId="54" xfId="0" applyFont="1" applyFill="1" applyBorder="1" applyAlignment="1" applyProtection="1">
      <alignment horizontal="center" vertical="center" wrapText="1"/>
      <protection hidden="1"/>
    </xf>
    <xf numFmtId="0" fontId="30" fillId="18" borderId="55" xfId="0" applyFont="1" applyFill="1" applyBorder="1" applyAlignment="1" applyProtection="1">
      <alignment horizontal="center" vertical="center" wrapText="1"/>
      <protection hidden="1"/>
    </xf>
    <xf numFmtId="0" fontId="30" fillId="18" borderId="56" xfId="0" applyFont="1" applyFill="1" applyBorder="1" applyAlignment="1" applyProtection="1">
      <alignment horizontal="center" vertical="center" wrapText="1"/>
      <protection hidden="1"/>
    </xf>
    <xf numFmtId="0" fontId="30" fillId="18" borderId="55" xfId="0" applyFont="1" applyFill="1" applyBorder="1" applyAlignment="1">
      <alignment horizontal="center" vertical="center" wrapText="1"/>
    </xf>
    <xf numFmtId="0" fontId="30" fillId="18" borderId="56" xfId="0" applyFont="1" applyFill="1" applyBorder="1" applyAlignment="1">
      <alignment horizontal="center" vertical="center" wrapText="1"/>
    </xf>
    <xf numFmtId="0" fontId="30" fillId="0" borderId="74" xfId="0" applyFont="1" applyBorder="1" applyAlignment="1">
      <alignment horizontal="left"/>
    </xf>
    <xf numFmtId="0" fontId="30" fillId="0" borderId="14" xfId="0" applyFont="1" applyBorder="1" applyAlignment="1">
      <alignment horizontal="left"/>
    </xf>
    <xf numFmtId="0" fontId="30" fillId="0" borderId="65" xfId="0" applyFont="1" applyBorder="1" applyAlignment="1">
      <alignment horizontal="left"/>
    </xf>
    <xf numFmtId="0" fontId="30" fillId="0" borderId="66" xfId="0" applyFont="1" applyBorder="1" applyAlignment="1">
      <alignment horizontal="left"/>
    </xf>
    <xf numFmtId="0" fontId="25" fillId="0" borderId="55" xfId="0" applyFont="1" applyBorder="1" applyAlignment="1">
      <alignment horizontal="left"/>
    </xf>
    <xf numFmtId="0" fontId="25" fillId="0" borderId="56" xfId="0" applyFont="1" applyBorder="1" applyAlignment="1">
      <alignment horizontal="left"/>
    </xf>
    <xf numFmtId="0" fontId="33" fillId="29" borderId="71" xfId="0" applyFont="1" applyFill="1" applyBorder="1" applyAlignment="1">
      <alignment horizontal="left" wrapText="1"/>
    </xf>
    <xf numFmtId="0" fontId="33" fillId="29" borderId="71" xfId="0" applyFont="1" applyFill="1" applyBorder="1" applyAlignment="1">
      <alignment horizontal="left"/>
    </xf>
    <xf numFmtId="0" fontId="30" fillId="0" borderId="71" xfId="0" applyFont="1" applyBorder="1" applyAlignment="1">
      <alignment horizontal="center"/>
    </xf>
    <xf numFmtId="0" fontId="25" fillId="35" borderId="83" xfId="0" applyFont="1" applyFill="1" applyBorder="1" applyAlignment="1">
      <alignment horizontal="center" vertical="center" wrapText="1"/>
    </xf>
    <xf numFmtId="0" fontId="25" fillId="35" borderId="61" xfId="0" applyFont="1" applyFill="1" applyBorder="1" applyAlignment="1">
      <alignment horizontal="center" vertical="center" wrapText="1"/>
    </xf>
    <xf numFmtId="0" fontId="56" fillId="0" borderId="78" xfId="0" applyFont="1" applyBorder="1" applyAlignment="1" applyProtection="1">
      <alignment horizontal="left" vertical="center"/>
      <protection locked="0"/>
    </xf>
    <xf numFmtId="0" fontId="56" fillId="0" borderId="21" xfId="0" applyFont="1" applyBorder="1" applyAlignment="1" applyProtection="1">
      <alignment horizontal="left" vertical="center"/>
      <protection locked="0"/>
    </xf>
    <xf numFmtId="0" fontId="25" fillId="0" borderId="55" xfId="0" applyFont="1" applyBorder="1" applyAlignment="1" applyProtection="1">
      <alignment horizontal="left"/>
      <protection hidden="1"/>
    </xf>
    <xf numFmtId="0" fontId="25" fillId="0" borderId="56" xfId="0" applyFont="1" applyBorder="1" applyAlignment="1" applyProtection="1">
      <alignment horizontal="left"/>
      <protection hidden="1"/>
    </xf>
    <xf numFmtId="0" fontId="37" fillId="33" borderId="55" xfId="0" applyFont="1" applyFill="1" applyBorder="1" applyAlignment="1">
      <alignment horizontal="center" vertical="center" wrapText="1"/>
    </xf>
    <xf numFmtId="0" fontId="37" fillId="33" borderId="71" xfId="0" applyFont="1" applyFill="1" applyBorder="1" applyAlignment="1">
      <alignment horizontal="center" vertical="center" wrapText="1"/>
    </xf>
    <xf numFmtId="0" fontId="37" fillId="33" borderId="76" xfId="0" applyFont="1" applyFill="1" applyBorder="1" applyAlignment="1">
      <alignment horizontal="center" vertical="center" wrapText="1"/>
    </xf>
    <xf numFmtId="0" fontId="25" fillId="34" borderId="71" xfId="0" applyFont="1" applyFill="1" applyBorder="1" applyAlignment="1">
      <alignment horizontal="center" wrapText="1"/>
    </xf>
    <xf numFmtId="0" fontId="25" fillId="34" borderId="76" xfId="0" applyFont="1" applyFill="1" applyBorder="1" applyAlignment="1">
      <alignment horizontal="center" wrapText="1"/>
    </xf>
    <xf numFmtId="0" fontId="56" fillId="0" borderId="78" xfId="0" applyFont="1" applyBorder="1" applyAlignment="1" applyProtection="1">
      <alignment horizontal="left" vertical="center" wrapText="1"/>
      <protection locked="0"/>
    </xf>
    <xf numFmtId="0" fontId="56" fillId="0" borderId="21" xfId="0" applyFont="1" applyBorder="1" applyAlignment="1" applyProtection="1">
      <alignment horizontal="left" vertical="center" wrapText="1"/>
      <protection locked="0"/>
    </xf>
    <xf numFmtId="0" fontId="25" fillId="35" borderId="79" xfId="0" applyFont="1" applyFill="1" applyBorder="1" applyAlignment="1">
      <alignment horizontal="center" vertical="center" wrapText="1"/>
    </xf>
    <xf numFmtId="0" fontId="25" fillId="35" borderId="84" xfId="0" applyFont="1" applyFill="1" applyBorder="1" applyAlignment="1">
      <alignment horizontal="center" vertical="center" wrapText="1"/>
    </xf>
    <xf numFmtId="0" fontId="25" fillId="35" borderId="80" xfId="0" applyFont="1" applyFill="1" applyBorder="1" applyAlignment="1">
      <alignment horizontal="center" vertical="center" wrapText="1"/>
    </xf>
    <xf numFmtId="0" fontId="25" fillId="35" borderId="35" xfId="0" applyFont="1" applyFill="1" applyBorder="1" applyAlignment="1">
      <alignment horizontal="center" vertical="center" wrapText="1"/>
    </xf>
    <xf numFmtId="0" fontId="25" fillId="13" borderId="10" xfId="0" applyFont="1" applyFill="1" applyBorder="1" applyAlignment="1" applyProtection="1">
      <alignment vertical="top"/>
      <protection locked="0"/>
    </xf>
    <xf numFmtId="0" fontId="25" fillId="13" borderId="11" xfId="0" applyFont="1" applyFill="1" applyBorder="1" applyAlignment="1" applyProtection="1">
      <alignment vertical="top"/>
      <protection locked="0"/>
    </xf>
    <xf numFmtId="0" fontId="14" fillId="13" borderId="25" xfId="0" applyFont="1" applyFill="1" applyBorder="1" applyAlignment="1" applyProtection="1">
      <alignment horizontal="left" vertical="top"/>
      <protection locked="0"/>
    </xf>
    <xf numFmtId="0" fontId="14" fillId="13" borderId="22" xfId="0" applyFont="1" applyFill="1" applyBorder="1" applyAlignment="1" applyProtection="1">
      <alignment horizontal="left" vertical="top"/>
      <protection locked="0"/>
    </xf>
    <xf numFmtId="0" fontId="25" fillId="13" borderId="27" xfId="0" applyFont="1" applyFill="1" applyBorder="1" applyAlignment="1" applyProtection="1">
      <alignment horizontal="left" vertical="top"/>
      <protection locked="0"/>
    </xf>
    <xf numFmtId="0" fontId="25" fillId="13" borderId="87" xfId="0" applyFont="1" applyFill="1" applyBorder="1" applyAlignment="1" applyProtection="1">
      <alignment horizontal="left" vertical="top"/>
      <protection locked="0"/>
    </xf>
    <xf numFmtId="0" fontId="14" fillId="13" borderId="32" xfId="0" applyFont="1" applyFill="1" applyBorder="1" applyAlignment="1" applyProtection="1">
      <alignment horizontal="left" vertical="top"/>
      <protection locked="0"/>
    </xf>
    <xf numFmtId="0" fontId="14" fillId="13" borderId="50" xfId="0" applyFont="1" applyFill="1" applyBorder="1" applyAlignment="1" applyProtection="1">
      <alignment horizontal="left" vertical="top"/>
      <protection locked="0"/>
    </xf>
    <xf numFmtId="0" fontId="25" fillId="13" borderId="4" xfId="0" applyFont="1" applyFill="1" applyBorder="1" applyAlignment="1" applyProtection="1">
      <alignment horizontal="center" vertical="top"/>
      <protection locked="0"/>
    </xf>
    <xf numFmtId="0" fontId="14" fillId="13" borderId="4" xfId="0" applyFont="1" applyFill="1" applyBorder="1" applyAlignment="1" applyProtection="1">
      <alignment horizontal="left" vertical="top" wrapText="1"/>
      <protection locked="0"/>
    </xf>
    <xf numFmtId="0" fontId="14" fillId="13" borderId="4" xfId="0" applyFont="1" applyFill="1" applyBorder="1" applyAlignment="1" applyProtection="1">
      <alignment horizontal="center" vertical="top"/>
      <protection locked="0"/>
    </xf>
    <xf numFmtId="0" fontId="25" fillId="13" borderId="9" xfId="0" applyFont="1" applyFill="1" applyBorder="1" applyAlignment="1" applyProtection="1">
      <alignment horizontal="center"/>
      <protection locked="0"/>
    </xf>
    <xf numFmtId="0" fontId="25" fillId="13" borderId="21" xfId="0" applyFont="1" applyFill="1" applyBorder="1" applyAlignment="1" applyProtection="1">
      <alignment horizontal="center"/>
      <protection locked="0"/>
    </xf>
    <xf numFmtId="0" fontId="30" fillId="0" borderId="72" xfId="0" applyFont="1" applyBorder="1" applyAlignment="1" applyProtection="1">
      <alignment horizontal="center" vertical="center" wrapText="1"/>
      <protection hidden="1"/>
    </xf>
    <xf numFmtId="0" fontId="30" fillId="0" borderId="58" xfId="0" applyFont="1" applyBorder="1" applyAlignment="1" applyProtection="1">
      <alignment horizontal="center" vertical="center" wrapText="1"/>
      <protection hidden="1"/>
    </xf>
    <xf numFmtId="0" fontId="30" fillId="36" borderId="59" xfId="0" applyFont="1" applyFill="1" applyBorder="1" applyAlignment="1" applyProtection="1">
      <alignment horizontal="center" vertical="center" wrapText="1"/>
      <protection hidden="1"/>
    </xf>
    <xf numFmtId="0" fontId="30" fillId="36" borderId="60" xfId="0" applyFont="1" applyFill="1" applyBorder="1" applyAlignment="1" applyProtection="1">
      <alignment horizontal="center" vertical="center" wrapText="1"/>
      <protection hidden="1"/>
    </xf>
    <xf numFmtId="0" fontId="32" fillId="0" borderId="62" xfId="0" applyFont="1" applyBorder="1" applyAlignment="1" applyProtection="1">
      <alignment horizontal="center" vertical="center" wrapText="1"/>
      <protection hidden="1"/>
    </xf>
    <xf numFmtId="0" fontId="32" fillId="0" borderId="4" xfId="0" applyFont="1" applyBorder="1" applyAlignment="1" applyProtection="1">
      <alignment horizontal="center" vertical="center" wrapText="1"/>
      <protection hidden="1"/>
    </xf>
    <xf numFmtId="0" fontId="32" fillId="0" borderId="75" xfId="0" applyFont="1" applyBorder="1" applyAlignment="1" applyProtection="1">
      <alignment horizontal="center" vertical="center" wrapText="1"/>
      <protection hidden="1"/>
    </xf>
    <xf numFmtId="0" fontId="32" fillId="0" borderId="20" xfId="0" applyFont="1" applyBorder="1" applyAlignment="1" applyProtection="1">
      <alignment horizontal="center" vertical="center" wrapText="1"/>
      <protection hidden="1"/>
    </xf>
    <xf numFmtId="0" fontId="25" fillId="0" borderId="81" xfId="0" applyFont="1" applyBorder="1" applyAlignment="1" applyProtection="1">
      <alignment horizontal="center" vertical="center"/>
      <protection hidden="1"/>
    </xf>
    <xf numFmtId="0" fontId="25" fillId="0" borderId="82" xfId="0" applyFont="1" applyBorder="1" applyAlignment="1" applyProtection="1">
      <alignment horizontal="center" vertical="center"/>
      <protection hidden="1"/>
    </xf>
    <xf numFmtId="0" fontId="27" fillId="13" borderId="21" xfId="12" applyFont="1" applyFill="1" applyBorder="1" applyAlignment="1" applyProtection="1">
      <alignment horizontal="center" vertical="top" wrapText="1"/>
      <protection locked="0" hidden="1"/>
    </xf>
    <xf numFmtId="0" fontId="27" fillId="13" borderId="4" xfId="12" applyFont="1" applyFill="1" applyBorder="1" applyAlignment="1" applyProtection="1">
      <alignment horizontal="center" vertical="top" wrapText="1"/>
      <protection locked="0" hidden="1"/>
    </xf>
    <xf numFmtId="0" fontId="27" fillId="13" borderId="34" xfId="12" applyFont="1" applyFill="1" applyBorder="1" applyAlignment="1" applyProtection="1">
      <alignment horizontal="center" vertical="top" wrapText="1"/>
      <protection locked="0" hidden="1"/>
    </xf>
    <xf numFmtId="0" fontId="27" fillId="13" borderId="20" xfId="12" applyFont="1" applyFill="1" applyBorder="1" applyAlignment="1" applyProtection="1">
      <alignment horizontal="center" vertical="top" wrapText="1"/>
      <protection locked="0" hidden="1"/>
    </xf>
    <xf numFmtId="0" fontId="14" fillId="0" borderId="34" xfId="0" applyFont="1" applyBorder="1" applyAlignment="1" applyProtection="1">
      <alignment horizontal="center"/>
      <protection locked="0" hidden="1"/>
    </xf>
    <xf numFmtId="0" fontId="14" fillId="0" borderId="20" xfId="0" applyFont="1" applyBorder="1" applyAlignment="1" applyProtection="1">
      <alignment horizontal="center"/>
      <protection locked="0" hidden="1"/>
    </xf>
    <xf numFmtId="41" fontId="14" fillId="0" borderId="13" xfId="0" applyNumberFormat="1" applyFont="1" applyBorder="1" applyAlignment="1" applyProtection="1">
      <alignment horizontal="left"/>
      <protection hidden="1"/>
    </xf>
    <xf numFmtId="0" fontId="14" fillId="0" borderId="13" xfId="0" applyFont="1" applyBorder="1" applyAlignment="1" applyProtection="1">
      <alignment horizontal="left"/>
      <protection hidden="1"/>
    </xf>
    <xf numFmtId="0" fontId="28" fillId="25" borderId="46" xfId="0" applyFont="1" applyFill="1" applyBorder="1" applyAlignment="1" applyProtection="1">
      <alignment horizontal="center" vertical="center"/>
      <protection hidden="1"/>
    </xf>
    <xf numFmtId="0" fontId="25" fillId="25" borderId="24" xfId="0" applyFont="1" applyFill="1" applyBorder="1" applyAlignment="1" applyProtection="1">
      <alignment horizontal="center" vertical="center"/>
      <protection hidden="1"/>
    </xf>
    <xf numFmtId="0" fontId="10" fillId="0" borderId="4" xfId="0" applyFont="1" applyBorder="1" applyAlignment="1" applyProtection="1">
      <alignment horizontal="center" vertical="center" wrapText="1"/>
      <protection hidden="1"/>
    </xf>
    <xf numFmtId="0" fontId="19" fillId="25" borderId="4" xfId="0" applyFont="1" applyFill="1" applyBorder="1" applyAlignment="1" applyProtection="1">
      <alignment horizontal="center" vertical="center"/>
      <protection hidden="1"/>
    </xf>
    <xf numFmtId="14" fontId="27" fillId="0" borderId="13" xfId="0" applyNumberFormat="1" applyFont="1" applyBorder="1" applyAlignment="1" applyProtection="1">
      <alignment horizontal="left"/>
      <protection locked="0"/>
    </xf>
    <xf numFmtId="0" fontId="27" fillId="0" borderId="13" xfId="0" applyFont="1" applyBorder="1" applyAlignment="1" applyProtection="1">
      <alignment horizontal="left"/>
      <protection locked="0"/>
    </xf>
    <xf numFmtId="0" fontId="14" fillId="0" borderId="41" xfId="0" applyFont="1" applyBorder="1" applyAlignment="1" applyProtection="1">
      <alignment horizontal="center"/>
      <protection hidden="1"/>
    </xf>
    <xf numFmtId="9" fontId="24" fillId="25" borderId="9" xfId="2" applyFont="1" applyFill="1" applyBorder="1" applyAlignment="1" applyProtection="1">
      <alignment horizontal="center" vertical="center"/>
      <protection hidden="1"/>
    </xf>
    <xf numFmtId="9" fontId="24" fillId="25" borderId="21" xfId="2" applyFont="1" applyFill="1" applyBorder="1" applyAlignment="1" applyProtection="1">
      <alignment horizontal="center" vertical="center"/>
      <protection hidden="1"/>
    </xf>
    <xf numFmtId="0" fontId="11" fillId="13" borderId="72" xfId="12" applyFont="1" applyFill="1" applyBorder="1" applyAlignment="1" applyProtection="1">
      <alignment horizontal="center" vertical="center" wrapText="1"/>
      <protection locked="0" hidden="1"/>
    </xf>
    <xf numFmtId="0" fontId="11" fillId="13" borderId="57" xfId="12" applyFont="1" applyFill="1" applyBorder="1" applyAlignment="1" applyProtection="1">
      <alignment horizontal="center" vertical="center" wrapText="1"/>
      <protection locked="0" hidden="1"/>
    </xf>
    <xf numFmtId="0" fontId="23" fillId="22" borderId="20" xfId="12" applyFont="1" applyBorder="1" applyAlignment="1" applyProtection="1">
      <alignment horizontal="center" vertical="center" wrapText="1"/>
      <protection hidden="1"/>
    </xf>
    <xf numFmtId="0" fontId="23" fillId="22" borderId="14" xfId="12" applyFont="1" applyBorder="1" applyAlignment="1" applyProtection="1">
      <alignment horizontal="center" vertical="center" wrapText="1"/>
      <protection hidden="1"/>
    </xf>
    <xf numFmtId="0" fontId="14" fillId="0" borderId="33" xfId="0" applyFont="1" applyBorder="1" applyAlignment="1" applyProtection="1">
      <alignment horizontal="center"/>
      <protection hidden="1"/>
    </xf>
    <xf numFmtId="0" fontId="23" fillId="22" borderId="30" xfId="12" applyFont="1" applyBorder="1" applyAlignment="1" applyProtection="1">
      <alignment horizontal="center" vertical="center" wrapText="1"/>
      <protection hidden="1"/>
    </xf>
    <xf numFmtId="0" fontId="23" fillId="22" borderId="34" xfId="12" applyFont="1" applyBorder="1" applyAlignment="1" applyProtection="1">
      <alignment horizontal="center" vertical="center" wrapText="1"/>
      <protection hidden="1"/>
    </xf>
    <xf numFmtId="0" fontId="23" fillId="22" borderId="31" xfId="12" applyFont="1" applyBorder="1" applyAlignment="1" applyProtection="1">
      <alignment horizontal="center" vertical="center" wrapText="1"/>
      <protection hidden="1"/>
    </xf>
    <xf numFmtId="0" fontId="23" fillId="22" borderId="35" xfId="12" applyFont="1" applyBorder="1" applyAlignment="1" applyProtection="1">
      <alignment horizontal="center" vertical="center" wrapText="1"/>
      <protection hidden="1"/>
    </xf>
    <xf numFmtId="0" fontId="27" fillId="13" borderId="0" xfId="12" applyFont="1" applyFill="1" applyBorder="1" applyAlignment="1" applyProtection="1">
      <alignment horizontal="center" vertical="top" wrapText="1"/>
      <protection locked="0" hidden="1"/>
    </xf>
    <xf numFmtId="0" fontId="25" fillId="12" borderId="4" xfId="0" applyFont="1" applyFill="1" applyBorder="1" applyAlignment="1" applyProtection="1">
      <alignment horizontal="center" vertical="center"/>
      <protection hidden="1"/>
    </xf>
    <xf numFmtId="0" fontId="47" fillId="0" borderId="0" xfId="0" applyFont="1" applyAlignment="1" applyProtection="1">
      <alignment horizontal="left" vertical="top" wrapText="1"/>
      <protection hidden="1"/>
    </xf>
    <xf numFmtId="9" fontId="27" fillId="0" borderId="38" xfId="2" applyFont="1" applyBorder="1" applyAlignment="1" applyProtection="1">
      <alignment horizontal="center" vertical="center"/>
      <protection locked="0"/>
    </xf>
    <xf numFmtId="9" fontId="27" fillId="0" borderId="39" xfId="2" applyFont="1" applyBorder="1" applyAlignment="1" applyProtection="1">
      <alignment horizontal="center" vertical="center"/>
      <protection locked="0"/>
    </xf>
    <xf numFmtId="9" fontId="27" fillId="0" borderId="40" xfId="2" applyFont="1" applyBorder="1" applyAlignment="1" applyProtection="1">
      <alignment horizontal="center" vertical="center"/>
      <protection locked="0"/>
    </xf>
    <xf numFmtId="165" fontId="27" fillId="0" borderId="37" xfId="1" applyFont="1" applyBorder="1" applyAlignment="1" applyProtection="1">
      <alignment horizontal="center" vertical="center"/>
      <protection locked="0"/>
    </xf>
    <xf numFmtId="0" fontId="14" fillId="0" borderId="0" xfId="0" applyFont="1" applyAlignment="1" applyProtection="1">
      <alignment horizontal="left" wrapText="1"/>
      <protection hidden="1"/>
    </xf>
    <xf numFmtId="0" fontId="25" fillId="0" borderId="0" xfId="0" applyFont="1" applyAlignment="1" applyProtection="1">
      <alignment horizontal="left"/>
      <protection hidden="1"/>
    </xf>
    <xf numFmtId="0" fontId="36" fillId="0" borderId="0" xfId="0" applyFont="1" applyAlignment="1" applyProtection="1">
      <alignment horizontal="left" vertical="center" wrapText="1"/>
      <protection hidden="1"/>
    </xf>
    <xf numFmtId="0" fontId="36" fillId="0" borderId="0" xfId="0" applyFont="1" applyAlignment="1" applyProtection="1">
      <alignment horizontal="left" wrapText="1"/>
      <protection hidden="1"/>
    </xf>
    <xf numFmtId="0" fontId="48" fillId="12" borderId="16" xfId="8" applyFont="1" applyFill="1" applyBorder="1" applyAlignment="1" applyProtection="1">
      <alignment horizontal="center" vertical="center" textRotation="90" wrapText="1"/>
    </xf>
    <xf numFmtId="0" fontId="9" fillId="12" borderId="4" xfId="8" applyFont="1" applyFill="1" applyBorder="1" applyAlignment="1" applyProtection="1">
      <alignment vertical="center" wrapText="1"/>
    </xf>
    <xf numFmtId="0" fontId="48" fillId="6" borderId="4" xfId="8" applyFont="1" applyFill="1" applyBorder="1" applyAlignment="1" applyProtection="1">
      <alignment horizontal="center" vertical="center" textRotation="90" wrapText="1"/>
    </xf>
    <xf numFmtId="0" fontId="9" fillId="6" borderId="158" xfId="8" applyFont="1" applyFill="1" applyBorder="1" applyAlignment="1" applyProtection="1">
      <alignment horizontal="center" vertical="center" wrapText="1"/>
    </xf>
    <xf numFmtId="0" fontId="9" fillId="6" borderId="24" xfId="8" applyFont="1" applyFill="1" applyBorder="1" applyAlignment="1" applyProtection="1">
      <alignment horizontal="center" vertical="center" wrapText="1"/>
    </xf>
    <xf numFmtId="0" fontId="9" fillId="6" borderId="47" xfId="8" applyFont="1" applyFill="1" applyBorder="1" applyAlignment="1" applyProtection="1">
      <alignment horizontal="center" vertical="center" wrapText="1"/>
    </xf>
    <xf numFmtId="0" fontId="27" fillId="14" borderId="160" xfId="5" applyFont="1" applyFill="1" applyBorder="1" applyAlignment="1">
      <alignment horizontal="center" vertical="center"/>
    </xf>
    <xf numFmtId="0" fontId="27" fillId="14" borderId="0" xfId="5" applyFont="1" applyFill="1" applyAlignment="1">
      <alignment horizontal="center" vertical="center"/>
    </xf>
    <xf numFmtId="0" fontId="50" fillId="0" borderId="0" xfId="5" applyFont="1" applyAlignment="1" applyProtection="1">
      <alignment horizontal="left" vertical="center" wrapText="1"/>
      <protection locked="0"/>
    </xf>
    <xf numFmtId="0" fontId="25" fillId="13" borderId="0" xfId="0" applyFont="1" applyFill="1" applyAlignment="1">
      <alignment horizontal="center"/>
    </xf>
    <xf numFmtId="167" fontId="28" fillId="16" borderId="4" xfId="4" applyNumberFormat="1" applyFont="1" applyFill="1" applyBorder="1" applyAlignment="1" applyProtection="1">
      <alignment horizontal="center" vertical="center"/>
    </xf>
    <xf numFmtId="167" fontId="27" fillId="16" borderId="9" xfId="4" applyNumberFormat="1" applyFont="1" applyFill="1" applyBorder="1" applyAlignment="1" applyProtection="1">
      <alignment horizontal="center" vertical="center"/>
    </xf>
    <xf numFmtId="167" fontId="27" fillId="16" borderId="13" xfId="4" applyNumberFormat="1" applyFont="1" applyFill="1" applyBorder="1" applyAlignment="1" applyProtection="1">
      <alignment horizontal="center" vertical="center"/>
    </xf>
    <xf numFmtId="167" fontId="27" fillId="16" borderId="21" xfId="4" applyNumberFormat="1" applyFont="1" applyFill="1" applyBorder="1" applyAlignment="1" applyProtection="1">
      <alignment horizontal="center" vertical="center"/>
    </xf>
    <xf numFmtId="167" fontId="28" fillId="30" borderId="4" xfId="4" applyNumberFormat="1" applyFont="1" applyFill="1" applyBorder="1" applyAlignment="1" applyProtection="1">
      <alignment horizontal="center" vertical="center"/>
    </xf>
    <xf numFmtId="167" fontId="28" fillId="20" borderId="4" xfId="4" applyNumberFormat="1" applyFont="1" applyFill="1" applyBorder="1" applyAlignment="1" applyProtection="1">
      <alignment horizontal="center" vertical="center"/>
    </xf>
    <xf numFmtId="9" fontId="51" fillId="21" borderId="4" xfId="2" applyFont="1" applyFill="1" applyBorder="1" applyAlignment="1" applyProtection="1">
      <alignment horizontal="center" vertical="center"/>
    </xf>
    <xf numFmtId="0" fontId="30" fillId="5" borderId="9" xfId="9" applyFont="1" applyFill="1" applyBorder="1" applyAlignment="1">
      <alignment horizontal="center" vertical="center" wrapText="1"/>
    </xf>
    <xf numFmtId="0" fontId="30" fillId="5" borderId="13" xfId="9" applyFont="1" applyFill="1" applyBorder="1" applyAlignment="1">
      <alignment horizontal="center" vertical="center" wrapText="1"/>
    </xf>
    <xf numFmtId="0" fontId="30" fillId="5" borderId="21" xfId="9" applyFont="1" applyFill="1" applyBorder="1" applyAlignment="1">
      <alignment horizontal="center" vertical="center" wrapText="1"/>
    </xf>
    <xf numFmtId="0" fontId="27" fillId="15" borderId="160" xfId="5" applyFont="1" applyFill="1" applyBorder="1" applyAlignment="1">
      <alignment horizontal="center" vertical="center"/>
    </xf>
    <xf numFmtId="0" fontId="27" fillId="15" borderId="0" xfId="5" applyFont="1" applyFill="1" applyAlignment="1">
      <alignment horizontal="center" vertical="center"/>
    </xf>
    <xf numFmtId="0" fontId="27" fillId="15" borderId="33" xfId="5" applyFont="1" applyFill="1" applyBorder="1" applyAlignment="1">
      <alignment horizontal="center" vertical="center"/>
    </xf>
    <xf numFmtId="0" fontId="47" fillId="8" borderId="156" xfId="0" applyFont="1" applyFill="1" applyBorder="1" applyAlignment="1">
      <alignment horizontal="left" vertical="center" wrapText="1"/>
    </xf>
    <xf numFmtId="0" fontId="47" fillId="8" borderId="31" xfId="0" applyFont="1" applyFill="1" applyBorder="1" applyAlignment="1">
      <alignment horizontal="left" vertical="center" wrapText="1"/>
    </xf>
    <xf numFmtId="0" fontId="9" fillId="8" borderId="4" xfId="8" applyFont="1" applyFill="1" applyBorder="1" applyAlignment="1" applyProtection="1">
      <alignment vertical="center" wrapText="1"/>
    </xf>
    <xf numFmtId="0" fontId="46" fillId="11" borderId="29" xfId="8" applyFont="1" applyFill="1" applyBorder="1" applyAlignment="1" applyProtection="1">
      <alignment horizontal="center" vertical="center" textRotation="90" wrapText="1"/>
    </xf>
    <xf numFmtId="0" fontId="46" fillId="11" borderId="51" xfId="8" applyFont="1" applyFill="1" applyBorder="1" applyAlignment="1" applyProtection="1">
      <alignment horizontal="center" vertical="center" textRotation="90" wrapText="1"/>
    </xf>
    <xf numFmtId="0" fontId="46" fillId="11" borderId="49" xfId="8" applyFont="1" applyFill="1" applyBorder="1" applyAlignment="1" applyProtection="1">
      <alignment horizontal="center" vertical="center" textRotation="90" wrapText="1"/>
    </xf>
    <xf numFmtId="0" fontId="9" fillId="11" borderId="158" xfId="8" applyFont="1" applyFill="1" applyBorder="1" applyAlignment="1" applyProtection="1">
      <alignment horizontal="center" vertical="center" wrapText="1"/>
    </xf>
    <xf numFmtId="0" fontId="9" fillId="11" borderId="24" xfId="8" applyFont="1" applyFill="1" applyBorder="1" applyAlignment="1" applyProtection="1">
      <alignment horizontal="center" vertical="center" wrapText="1"/>
    </xf>
    <xf numFmtId="0" fontId="9" fillId="11" borderId="14" xfId="8" applyFont="1" applyFill="1" applyBorder="1" applyAlignment="1" applyProtection="1">
      <alignment horizontal="center" vertical="center" wrapText="1"/>
    </xf>
    <xf numFmtId="0" fontId="9" fillId="11" borderId="4" xfId="8" applyFont="1" applyFill="1" applyBorder="1" applyAlignment="1" applyProtection="1">
      <alignment vertical="center" wrapText="1"/>
    </xf>
    <xf numFmtId="0" fontId="47" fillId="18" borderId="156" xfId="0" applyFont="1" applyFill="1" applyBorder="1" applyAlignment="1">
      <alignment horizontal="left" vertical="center" wrapText="1"/>
    </xf>
    <xf numFmtId="0" fontId="47" fillId="18" borderId="31" xfId="0" applyFont="1" applyFill="1" applyBorder="1" applyAlignment="1">
      <alignment horizontal="left" vertical="center" wrapText="1"/>
    </xf>
    <xf numFmtId="0" fontId="48" fillId="8" borderId="16" xfId="8" applyFont="1" applyFill="1" applyBorder="1" applyAlignment="1" applyProtection="1">
      <alignment horizontal="center" vertical="center" textRotation="90" wrapText="1"/>
    </xf>
    <xf numFmtId="167" fontId="17" fillId="9" borderId="19" xfId="4" applyNumberFormat="1" applyFont="1" applyFill="1" applyBorder="1" applyAlignment="1" applyProtection="1">
      <alignment horizontal="center" vertical="center"/>
      <protection hidden="1"/>
    </xf>
    <xf numFmtId="165" fontId="11" fillId="5" borderId="160" xfId="2" applyNumberFormat="1" applyFont="1" applyFill="1" applyBorder="1" applyAlignment="1" applyProtection="1">
      <alignment horizontal="center" vertical="center"/>
      <protection hidden="1"/>
    </xf>
    <xf numFmtId="165" fontId="11" fillId="5" borderId="157" xfId="2" applyNumberFormat="1" applyFont="1" applyFill="1" applyBorder="1" applyAlignment="1" applyProtection="1">
      <alignment horizontal="center" vertical="center"/>
      <protection hidden="1"/>
    </xf>
    <xf numFmtId="0" fontId="43" fillId="13" borderId="102" xfId="5" applyFont="1" applyFill="1" applyBorder="1" applyAlignment="1">
      <alignment horizontal="center" vertical="center"/>
    </xf>
    <xf numFmtId="0" fontId="43" fillId="13" borderId="0" xfId="5" applyFont="1" applyFill="1" applyAlignment="1">
      <alignment horizontal="center" vertical="center"/>
    </xf>
    <xf numFmtId="0" fontId="43" fillId="13" borderId="33" xfId="5" applyFont="1" applyFill="1" applyBorder="1" applyAlignment="1">
      <alignment horizontal="center" vertical="center"/>
    </xf>
    <xf numFmtId="41" fontId="10" fillId="5" borderId="19" xfId="3" applyNumberFormat="1" applyFont="1" applyFill="1" applyBorder="1" applyAlignment="1" applyProtection="1">
      <alignment horizontal="center" vertical="center" wrapText="1"/>
      <protection hidden="1"/>
    </xf>
    <xf numFmtId="0" fontId="10" fillId="5" borderId="19" xfId="3" applyFont="1" applyFill="1" applyBorder="1" applyAlignment="1" applyProtection="1">
      <alignment horizontal="center" vertical="center" wrapText="1"/>
      <protection hidden="1"/>
    </xf>
    <xf numFmtId="0" fontId="10" fillId="5" borderId="0" xfId="3" applyFont="1" applyFill="1" applyBorder="1" applyAlignment="1" applyProtection="1">
      <alignment horizontal="center" vertical="center" wrapText="1"/>
      <protection hidden="1"/>
    </xf>
    <xf numFmtId="0" fontId="10" fillId="5" borderId="26" xfId="3" applyFont="1" applyFill="1" applyBorder="1" applyAlignment="1" applyProtection="1">
      <alignment horizontal="center" vertical="center" wrapText="1"/>
      <protection hidden="1"/>
    </xf>
    <xf numFmtId="0" fontId="10" fillId="5" borderId="13" xfId="3" applyFont="1" applyFill="1" applyBorder="1" applyAlignment="1" applyProtection="1">
      <alignment horizontal="center" vertical="center" wrapText="1"/>
      <protection hidden="1"/>
    </xf>
    <xf numFmtId="0" fontId="10" fillId="5" borderId="86" xfId="3" applyFont="1" applyFill="1" applyBorder="1" applyAlignment="1" applyProtection="1">
      <alignment horizontal="center" vertical="center" wrapText="1"/>
      <protection hidden="1"/>
    </xf>
    <xf numFmtId="0" fontId="10" fillId="5" borderId="21" xfId="3" applyFont="1" applyFill="1" applyBorder="1" applyAlignment="1" applyProtection="1">
      <alignment horizontal="center" vertical="center" wrapText="1"/>
      <protection hidden="1"/>
    </xf>
    <xf numFmtId="165" fontId="11" fillId="5" borderId="13" xfId="2" applyNumberFormat="1" applyFont="1" applyFill="1" applyBorder="1" applyAlignment="1" applyProtection="1">
      <alignment horizontal="center" vertical="center"/>
      <protection hidden="1"/>
    </xf>
    <xf numFmtId="165" fontId="11" fillId="5" borderId="86" xfId="2" applyNumberFormat="1" applyFont="1" applyFill="1" applyBorder="1" applyAlignment="1" applyProtection="1">
      <alignment horizontal="center" vertical="center"/>
      <protection hidden="1"/>
    </xf>
    <xf numFmtId="9" fontId="43" fillId="5" borderId="13" xfId="2" applyFont="1" applyFill="1" applyBorder="1" applyAlignment="1" applyProtection="1">
      <alignment horizontal="center" vertical="center"/>
      <protection hidden="1"/>
    </xf>
    <xf numFmtId="9" fontId="43" fillId="5" borderId="86" xfId="2" applyFont="1" applyFill="1" applyBorder="1" applyAlignment="1" applyProtection="1">
      <alignment horizontal="center" vertical="center"/>
      <protection hidden="1"/>
    </xf>
    <xf numFmtId="182" fontId="11" fillId="20" borderId="13" xfId="6" applyNumberFormat="1" applyFont="1" applyFill="1" applyBorder="1" applyAlignment="1" applyProtection="1">
      <alignment horizontal="center" vertical="center" wrapText="1"/>
      <protection hidden="1"/>
    </xf>
    <xf numFmtId="182" fontId="11" fillId="20" borderId="86" xfId="6" applyNumberFormat="1" applyFont="1" applyFill="1" applyBorder="1" applyAlignment="1" applyProtection="1">
      <alignment horizontal="center" vertical="center" wrapText="1"/>
      <protection hidden="1"/>
    </xf>
    <xf numFmtId="167" fontId="43" fillId="9" borderId="19" xfId="4" applyNumberFormat="1" applyFont="1" applyFill="1" applyBorder="1" applyAlignment="1" applyProtection="1">
      <alignment horizontal="center" vertical="center"/>
      <protection hidden="1"/>
    </xf>
    <xf numFmtId="42" fontId="172" fillId="0" borderId="4" xfId="0" applyNumberFormat="1" applyFont="1" applyBorder="1" applyAlignment="1" applyProtection="1">
      <alignment horizontal="center" vertical="center"/>
      <protection locked="0"/>
    </xf>
    <xf numFmtId="0" fontId="172" fillId="0" borderId="4" xfId="0" applyFont="1" applyBorder="1" applyAlignment="1" applyProtection="1">
      <alignment horizontal="center" vertical="center"/>
      <protection locked="0"/>
    </xf>
  </cellXfs>
  <cellStyles count="47">
    <cellStyle name="40% - Énfasis2" xfId="22" builtinId="35"/>
    <cellStyle name="40% - Énfasis4" xfId="23" builtinId="43"/>
    <cellStyle name="60% - Énfasis3 2" xfId="33" xr:uid="{00000000-0005-0000-0000-000002000000}"/>
    <cellStyle name="Bueno" xfId="36" builtinId="26"/>
    <cellStyle name="Énfasis1" xfId="12" builtinId="29"/>
    <cellStyle name="Énfasis2" xfId="13" builtinId="33"/>
    <cellStyle name="Hipervínculo" xfId="16" builtinId="8"/>
    <cellStyle name="Incorrecto" xfId="20" builtinId="27"/>
    <cellStyle name="Incorrecto 2" xfId="8" xr:uid="{00000000-0005-0000-0000-000008000000}"/>
    <cellStyle name="Millares" xfId="18" builtinId="3"/>
    <cellStyle name="Millares [0]" xfId="19" builtinId="6"/>
    <cellStyle name="Millares [0] 2" xfId="40" xr:uid="{00000000-0005-0000-0000-00000B000000}"/>
    <cellStyle name="Millares 2" xfId="39" xr:uid="{00000000-0005-0000-0000-00000C000000}"/>
    <cellStyle name="Millares 2 2" xfId="27" xr:uid="{00000000-0005-0000-0000-00000D000000}"/>
    <cellStyle name="Millares 2 2 2" xfId="43" xr:uid="{00000000-0005-0000-0000-00000E000000}"/>
    <cellStyle name="Millares 4" xfId="4" xr:uid="{00000000-0005-0000-0000-00000F000000}"/>
    <cellStyle name="Millares 4 2" xfId="24" xr:uid="{00000000-0005-0000-0000-000010000000}"/>
    <cellStyle name="Millares 4 2 2" xfId="41" xr:uid="{00000000-0005-0000-0000-000011000000}"/>
    <cellStyle name="Millares 5" xfId="6" xr:uid="{00000000-0005-0000-0000-000012000000}"/>
    <cellStyle name="Millares 5 2" xfId="37" xr:uid="{00000000-0005-0000-0000-000013000000}"/>
    <cellStyle name="Moneda" xfId="1" builtinId="4"/>
    <cellStyle name="Moneda [0]" xfId="46" builtinId="7"/>
    <cellStyle name="Moneda 2" xfId="14" xr:uid="{00000000-0005-0000-0000-000016000000}"/>
    <cellStyle name="Moneda 2 2" xfId="26" xr:uid="{00000000-0005-0000-0000-000017000000}"/>
    <cellStyle name="Moneda 3" xfId="15" xr:uid="{00000000-0005-0000-0000-000018000000}"/>
    <cellStyle name="Moneda 4" xfId="17" xr:uid="{00000000-0005-0000-0000-000019000000}"/>
    <cellStyle name="Moneda 4 2" xfId="38" xr:uid="{00000000-0005-0000-0000-00001A000000}"/>
    <cellStyle name="Neutral 2" xfId="32" xr:uid="{00000000-0005-0000-0000-00001B000000}"/>
    <cellStyle name="Normal" xfId="0" builtinId="0"/>
    <cellStyle name="Normal 2" xfId="11" xr:uid="{00000000-0005-0000-0000-00001D000000}"/>
    <cellStyle name="Normal 2 2 2" xfId="28" xr:uid="{00000000-0005-0000-0000-00001E000000}"/>
    <cellStyle name="Normal 3 2" xfId="30" xr:uid="{00000000-0005-0000-0000-00001F000000}"/>
    <cellStyle name="Normal 5" xfId="5" xr:uid="{00000000-0005-0000-0000-000020000000}"/>
    <cellStyle name="Normal 6 2" xfId="29" xr:uid="{00000000-0005-0000-0000-000021000000}"/>
    <cellStyle name="Normal 7" xfId="9" xr:uid="{00000000-0005-0000-0000-000022000000}"/>
    <cellStyle name="Normal_Hoja1" xfId="10" xr:uid="{00000000-0005-0000-0000-000023000000}"/>
    <cellStyle name="Notas" xfId="21" builtinId="10"/>
    <cellStyle name="Note" xfId="3" xr:uid="{00000000-0005-0000-0000-000025000000}"/>
    <cellStyle name="Note 2 2 10" xfId="25" xr:uid="{00000000-0005-0000-0000-000026000000}"/>
    <cellStyle name="Note 2 2 10 2" xfId="42" xr:uid="{00000000-0005-0000-0000-000027000000}"/>
    <cellStyle name="Note 2 7 2 2" xfId="34" xr:uid="{00000000-0005-0000-0000-000028000000}"/>
    <cellStyle name="Note 2 7 2 2 2" xfId="44" xr:uid="{00000000-0005-0000-0000-000029000000}"/>
    <cellStyle name="Note 3" xfId="35" xr:uid="{00000000-0005-0000-0000-00002A000000}"/>
    <cellStyle name="Note 3 2" xfId="45" xr:uid="{00000000-0005-0000-0000-00002B000000}"/>
    <cellStyle name="Porcentaje" xfId="2" builtinId="5"/>
    <cellStyle name="Porcentaje 2" xfId="7" xr:uid="{00000000-0005-0000-0000-00002D000000}"/>
    <cellStyle name="Porcentual 4" xfId="31" xr:uid="{00000000-0005-0000-0000-00002E000000}"/>
  </cellStyles>
  <dxfs count="428">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FF0000"/>
      </font>
    </dxf>
    <dxf>
      <font>
        <color rgb="FFFF0000"/>
      </font>
    </dxf>
    <dxf>
      <font>
        <color rgb="FFFF0000"/>
      </font>
    </dxf>
    <dxf>
      <fill>
        <patternFill>
          <bgColor rgb="FF00FF00"/>
        </patternFill>
      </fill>
    </dxf>
    <dxf>
      <fill>
        <patternFill>
          <bgColor rgb="FFFF0000"/>
        </patternFill>
      </fill>
    </dxf>
    <dxf>
      <fill>
        <patternFill>
          <bgColor rgb="FFFFFF00"/>
        </patternFill>
      </fill>
    </dxf>
    <dxf>
      <font>
        <color theme="0"/>
      </font>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00FF00"/>
        </patternFill>
      </fill>
    </dxf>
    <dxf>
      <fill>
        <patternFill>
          <bgColor rgb="FFFF0000"/>
        </patternFill>
      </fill>
    </dxf>
    <dxf>
      <fill>
        <patternFill>
          <bgColor rgb="FFCEE193"/>
        </patternFill>
      </fill>
    </dxf>
    <dxf>
      <fill>
        <patternFill>
          <bgColor rgb="FFFABA86"/>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numFmt numFmtId="30" formatCode="@"/>
      <fill>
        <patternFill>
          <bgColor rgb="FF00FF00"/>
        </patternFill>
      </fill>
    </dxf>
    <dxf>
      <numFmt numFmtId="30" formatCode="@"/>
      <fill>
        <patternFill>
          <bgColor rgb="FFFF0000"/>
        </patternFill>
      </fill>
    </dxf>
    <dxf>
      <numFmt numFmtId="30" formatCode="@"/>
      <fill>
        <patternFill>
          <bgColor rgb="FF00FF00"/>
        </patternFill>
      </fill>
    </dxf>
    <dxf>
      <numFmt numFmtId="30" formatCode="@"/>
      <fill>
        <patternFill>
          <bgColor rgb="FFFF0000"/>
        </patternFill>
      </fill>
    </dxf>
    <dxf>
      <fill>
        <patternFill>
          <bgColor rgb="FFFF0000"/>
        </patternFill>
      </fill>
    </dxf>
    <dxf>
      <fill>
        <patternFill>
          <bgColor rgb="FF05ED1B"/>
        </patternFill>
      </fill>
    </dxf>
    <dxf>
      <fill>
        <patternFill>
          <bgColor rgb="FFFF0000"/>
        </patternFill>
      </fill>
    </dxf>
    <dxf>
      <fill>
        <patternFill>
          <bgColor indexed="11"/>
        </patternFill>
      </fill>
    </dxf>
    <dxf>
      <font>
        <b val="0"/>
        <i val="0"/>
        <strike val="0"/>
        <color theme="0"/>
      </font>
      <fill>
        <patternFill>
          <bgColor theme="1"/>
        </patternFill>
      </fill>
    </dxf>
    <dxf>
      <fill>
        <patternFill>
          <bgColor theme="9"/>
        </patternFill>
      </fill>
    </dxf>
    <dxf>
      <font>
        <color theme="0"/>
      </font>
      <fill>
        <patternFill>
          <bgColor rgb="FFC00000"/>
        </patternFill>
      </fill>
    </dxf>
    <dxf>
      <fill>
        <patternFill>
          <bgColor theme="9"/>
        </patternFill>
      </fill>
    </dxf>
    <dxf>
      <font>
        <color theme="0"/>
      </font>
      <fill>
        <patternFill>
          <bgColor rgb="FFC00000"/>
        </patternFill>
      </fill>
    </dxf>
    <dxf>
      <fill>
        <patternFill>
          <bgColor rgb="FFFFFF00"/>
        </patternFill>
      </fill>
    </dxf>
    <dxf>
      <font>
        <color theme="0"/>
      </font>
      <fill>
        <patternFill>
          <bgColor rgb="FFC00000"/>
        </patternFill>
      </fill>
    </dxf>
    <dxf>
      <fill>
        <patternFill>
          <fgColor rgb="FF92D050"/>
          <bgColor rgb="FF92D050"/>
        </patternFill>
      </fill>
    </dxf>
    <dxf>
      <fill>
        <patternFill>
          <bgColor rgb="FF92D050"/>
        </patternFill>
      </fill>
    </dxf>
    <dxf>
      <fill>
        <patternFill>
          <bgColor rgb="FFFFFF00"/>
        </patternFill>
      </fill>
    </dxf>
    <dxf>
      <fill>
        <patternFill>
          <bgColor theme="9"/>
        </patternFill>
      </fill>
    </dxf>
    <dxf>
      <fill>
        <patternFill>
          <bgColor rgb="FFC00000"/>
        </patternFill>
      </fill>
    </dxf>
    <dxf>
      <fill>
        <patternFill>
          <bgColor rgb="FFC00000"/>
        </patternFill>
      </fill>
    </dxf>
    <dxf>
      <fill>
        <patternFill>
          <bgColor theme="9"/>
        </patternFill>
      </fill>
    </dxf>
    <dxf>
      <fill>
        <patternFill>
          <bgColor theme="9"/>
        </patternFill>
      </fill>
    </dxf>
    <dxf>
      <fill>
        <patternFill>
          <bgColor rgb="FFC00000"/>
        </patternFill>
      </fill>
    </dxf>
    <dxf>
      <fill>
        <patternFill>
          <bgColor rgb="FFC00000"/>
        </patternFill>
      </fill>
    </dxf>
    <dxf>
      <fill>
        <patternFill>
          <bgColor theme="9"/>
        </patternFill>
      </fill>
    </dxf>
    <dxf>
      <font>
        <color rgb="FF9C0006"/>
      </font>
      <fill>
        <patternFill>
          <bgColor rgb="FFFFC7CE"/>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92D050"/>
        </patternFill>
      </fill>
    </dxf>
    <dxf>
      <fill>
        <patternFill>
          <bgColor rgb="FFFFFF00"/>
        </patternFill>
      </fill>
    </dxf>
    <dxf>
      <font>
        <color theme="0"/>
      </font>
      <fill>
        <patternFill>
          <bgColor rgb="FFFF0000"/>
        </patternFill>
      </fill>
    </dxf>
    <dxf>
      <font>
        <color theme="0"/>
      </font>
      <fill>
        <patternFill>
          <bgColor rgb="FFC00000"/>
        </patternFill>
      </fill>
    </dxf>
    <dxf>
      <fill>
        <patternFill>
          <bgColor rgb="FF92D050"/>
        </patternFill>
      </fill>
    </dxf>
    <dxf>
      <fill>
        <patternFill>
          <bgColor rgb="FFFFFF00"/>
        </patternFill>
      </fill>
    </dxf>
    <dxf>
      <font>
        <color theme="0"/>
      </font>
      <fill>
        <patternFill>
          <bgColor rgb="FFFF0000"/>
        </patternFill>
      </fill>
    </dxf>
    <dxf>
      <font>
        <color theme="0"/>
      </font>
      <fill>
        <patternFill>
          <bgColor rgb="FFC00000"/>
        </patternFill>
      </fill>
    </dxf>
    <dxf>
      <fill>
        <patternFill>
          <bgColor rgb="FF92D050"/>
        </patternFill>
      </fill>
    </dxf>
    <dxf>
      <fill>
        <patternFill>
          <bgColor rgb="FFFFFF00"/>
        </patternFill>
      </fill>
    </dxf>
    <dxf>
      <font>
        <color theme="0"/>
      </font>
      <fill>
        <patternFill>
          <bgColor rgb="FFFF0000"/>
        </patternFill>
      </fill>
    </dxf>
    <dxf>
      <font>
        <color theme="0"/>
      </font>
      <fill>
        <patternFill>
          <bgColor rgb="FFC00000"/>
        </patternFill>
      </fill>
    </dxf>
    <dxf>
      <font>
        <b val="0"/>
        <i val="0"/>
        <strike val="0"/>
        <color theme="0"/>
      </font>
      <fill>
        <patternFill>
          <bgColor theme="1"/>
        </patternFill>
      </fill>
    </dxf>
    <dxf>
      <fill>
        <patternFill patternType="none">
          <bgColor auto="1"/>
        </patternFill>
      </fill>
    </dxf>
    <dxf>
      <fill>
        <patternFill patternType="none">
          <bgColor auto="1"/>
        </patternFill>
      </fill>
    </dxf>
    <dxf>
      <font>
        <b/>
        <i val="0"/>
        <color theme="0"/>
      </font>
      <fill>
        <patternFill>
          <bgColor rgb="FFFF0000"/>
        </patternFill>
      </fill>
    </dxf>
    <dxf>
      <font>
        <color auto="1"/>
      </font>
      <fill>
        <patternFill>
          <bgColor rgb="FFFFFF00"/>
        </patternFill>
      </fill>
    </dxf>
    <dxf>
      <font>
        <color auto="1"/>
      </font>
      <fill>
        <patternFill>
          <bgColor rgb="FF92D050"/>
        </patternFill>
      </fill>
    </dxf>
    <dxf>
      <font>
        <b/>
        <i val="0"/>
        <color theme="0"/>
      </font>
      <fill>
        <patternFill>
          <bgColor rgb="FFFF0000"/>
        </patternFill>
      </fill>
    </dxf>
    <dxf>
      <font>
        <color auto="1"/>
      </font>
      <fill>
        <patternFill>
          <bgColor rgb="FFFFFF00"/>
        </patternFill>
      </fill>
    </dxf>
    <dxf>
      <font>
        <color auto="1"/>
      </font>
      <fill>
        <patternFill>
          <bgColor rgb="FF92D050"/>
        </patternFill>
      </fill>
    </dxf>
    <dxf>
      <font>
        <color rgb="FF006100"/>
      </font>
      <fill>
        <patternFill>
          <bgColor rgb="FFC6EFCE"/>
        </patternFill>
      </fill>
    </dxf>
    <dxf>
      <fill>
        <patternFill>
          <bgColor rgb="FFFFC7CE"/>
        </patternFill>
      </fill>
    </dxf>
    <dxf>
      <font>
        <color rgb="FF9C5700"/>
      </font>
      <fill>
        <patternFill>
          <bgColor rgb="FFFFEB9C"/>
        </patternFill>
      </fill>
    </dxf>
    <dxf>
      <font>
        <color rgb="FF9C0006"/>
      </font>
      <fill>
        <patternFill>
          <bgColor rgb="FFFFC7CE"/>
        </patternFill>
      </fill>
    </dxf>
    <dxf>
      <font>
        <color theme="1"/>
      </font>
      <fill>
        <patternFill>
          <bgColor rgb="FFFF0000"/>
        </patternFill>
      </fill>
    </dxf>
    <dxf>
      <font>
        <color theme="0"/>
      </font>
    </dxf>
    <dxf>
      <font>
        <color theme="1"/>
      </font>
      <fill>
        <patternFill>
          <bgColor rgb="FF92D050"/>
        </patternFill>
      </fill>
    </dxf>
    <dxf>
      <font>
        <color theme="0"/>
      </font>
      <fill>
        <patternFill>
          <bgColor rgb="FFFF0000"/>
        </patternFill>
      </fill>
    </dxf>
    <dxf>
      <font>
        <color auto="1"/>
      </font>
    </dxf>
    <dxf>
      <font>
        <color auto="1"/>
      </font>
      <fill>
        <patternFill>
          <bgColor rgb="FF92D050"/>
        </patternFill>
      </fill>
    </dxf>
    <dxf>
      <fill>
        <patternFill>
          <bgColor rgb="FFFFFF00"/>
        </patternFill>
      </fill>
    </dxf>
    <dxf>
      <font>
        <color auto="1"/>
      </font>
    </dxf>
    <dxf>
      <font>
        <color auto="1"/>
      </font>
    </dxf>
    <dxf>
      <font>
        <b/>
        <i val="0"/>
        <color auto="1"/>
      </font>
      <fill>
        <patternFill>
          <bgColor rgb="FF92D050"/>
        </patternFill>
      </fill>
    </dxf>
    <dxf>
      <font>
        <b/>
        <i val="0"/>
      </font>
    </dxf>
    <dxf>
      <font>
        <color auto="1"/>
      </font>
      <fill>
        <patternFill>
          <bgColor rgb="FF92D050"/>
        </patternFill>
      </fill>
    </dxf>
    <dxf>
      <font>
        <color theme="1"/>
      </font>
      <fill>
        <patternFill>
          <bgColor rgb="FFFFFF00"/>
        </patternFill>
      </fill>
    </dxf>
    <dxf>
      <font>
        <color auto="1"/>
      </font>
      <fill>
        <patternFill>
          <bgColor rgb="FFFFFF00"/>
        </patternFill>
      </fill>
    </dxf>
    <dxf>
      <font>
        <color auto="1"/>
      </font>
      <fill>
        <patternFill>
          <bgColor rgb="FF92D050"/>
        </patternFill>
      </fill>
    </dxf>
    <dxf>
      <font>
        <color auto="1"/>
      </font>
      <fill>
        <patternFill>
          <bgColor rgb="FF92D050"/>
        </patternFill>
      </fill>
    </dxf>
    <dxf>
      <font>
        <b val="0"/>
        <i/>
        <color theme="0"/>
      </font>
      <fill>
        <patternFill>
          <bgColor rgb="FFFF0000"/>
        </patternFill>
      </fill>
    </dxf>
    <dxf>
      <font>
        <b/>
        <i val="0"/>
      </font>
    </dxf>
    <dxf>
      <font>
        <b/>
        <i val="0"/>
        <color theme="0"/>
      </font>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rgb="FFFFFF00"/>
        </patternFill>
      </fill>
    </dxf>
    <dxf>
      <font>
        <b val="0"/>
        <i val="0"/>
        <strike val="0"/>
        <color theme="0"/>
      </font>
      <fill>
        <patternFill>
          <bgColor theme="1"/>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b val="0"/>
        <i/>
        <color theme="0"/>
      </font>
      <fill>
        <patternFill>
          <bgColor rgb="FFFF0000"/>
        </patternFill>
      </fill>
    </dxf>
    <dxf>
      <font>
        <color theme="1"/>
      </font>
      <fill>
        <patternFill>
          <bgColor rgb="FFFFFF00"/>
        </patternFill>
      </fill>
    </dxf>
    <dxf>
      <font>
        <b/>
        <i val="0"/>
      </font>
    </dxf>
    <dxf>
      <font>
        <b/>
        <i val="0"/>
        <color auto="1"/>
      </font>
      <fill>
        <patternFill>
          <bgColor rgb="FF92D050"/>
        </patternFill>
      </fill>
    </dxf>
    <dxf>
      <font>
        <b/>
        <i val="0"/>
      </font>
    </dxf>
    <dxf>
      <font>
        <color auto="1"/>
      </font>
      <fill>
        <patternFill>
          <bgColor rgb="FF92D050"/>
        </patternFill>
      </fill>
    </dxf>
    <dxf>
      <font>
        <color auto="1"/>
      </font>
    </dxf>
    <dxf>
      <fill>
        <patternFill>
          <bgColor rgb="FFFFFF00"/>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006100"/>
      </font>
      <fill>
        <patternFill>
          <bgColor rgb="FFC6EFCE"/>
        </patternFill>
      </fill>
    </dxf>
    <dxf>
      <font>
        <color theme="0"/>
      </font>
      <fill>
        <patternFill>
          <bgColor rgb="FFFF0000"/>
        </patternFill>
      </fill>
    </dxf>
    <dxf>
      <font>
        <color auto="1"/>
      </font>
    </dxf>
    <dxf>
      <font>
        <color auto="1"/>
      </font>
      <fill>
        <patternFill>
          <bgColor rgb="FF92D050"/>
        </patternFill>
      </fill>
    </dxf>
    <dxf>
      <font>
        <color auto="1"/>
      </font>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b/>
        <i val="0"/>
        <color theme="0" tint="-4.9989318521683403E-2"/>
        <name val="Calibri Light"/>
        <scheme val="none"/>
      </font>
      <fill>
        <patternFill>
          <bgColor rgb="FFC00000"/>
        </patternFill>
      </fill>
    </dxf>
    <dxf>
      <fill>
        <patternFill>
          <bgColor rgb="FF00FF00"/>
        </patternFill>
      </fill>
    </dxf>
    <dxf>
      <fill>
        <patternFill>
          <bgColor rgb="FFFFFF00"/>
        </patternFill>
      </fill>
    </dxf>
    <dxf>
      <fill>
        <patternFill>
          <bgColor rgb="FF00FF00"/>
        </patternFill>
      </fill>
    </dxf>
    <dxf>
      <fill>
        <patternFill>
          <bgColor rgb="FFFFFF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FF0000"/>
        </patternFill>
      </fill>
    </dxf>
    <dxf>
      <fill>
        <patternFill>
          <bgColor rgb="FF00B050"/>
        </patternFill>
      </fill>
    </dxf>
    <dxf>
      <fill>
        <patternFill>
          <bgColor rgb="FFFF0000"/>
        </patternFill>
      </fill>
    </dxf>
    <dxf>
      <fill>
        <patternFill>
          <bgColor rgb="FF66FF33"/>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FF0000"/>
        </patternFill>
      </fill>
    </dxf>
    <dxf>
      <fill>
        <patternFill>
          <bgColor rgb="FF00B050"/>
        </patternFill>
      </fill>
    </dxf>
    <dxf>
      <fill>
        <patternFill>
          <bgColor rgb="FFFF0000"/>
        </patternFill>
      </fill>
    </dxf>
    <dxf>
      <fill>
        <patternFill>
          <bgColor rgb="FF66FF33"/>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ill>
        <patternFill>
          <bgColor rgb="FFFFFF00"/>
        </patternFill>
      </fill>
    </dxf>
    <dxf>
      <font>
        <color theme="0"/>
      </font>
      <fill>
        <patternFill>
          <bgColor rgb="FFFF00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ont>
        <color theme="0"/>
      </font>
      <fill>
        <patternFill>
          <bgColor rgb="FFFF0000"/>
        </patternFill>
      </fill>
    </dxf>
    <dxf>
      <fill>
        <patternFill>
          <bgColor rgb="FFFFFF00"/>
        </patternFill>
      </fill>
    </dxf>
    <dxf>
      <fill>
        <patternFill>
          <bgColor rgb="FF00B050"/>
        </patternFill>
      </fill>
    </dxf>
    <dxf>
      <fill>
        <patternFill>
          <bgColor rgb="FFFF0000"/>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rgb="FF00B050"/>
        </patternFill>
      </fill>
    </dxf>
    <dxf>
      <fill>
        <patternFill>
          <bgColor theme="0"/>
        </patternFill>
      </fill>
    </dxf>
    <dxf>
      <fill>
        <patternFill>
          <bgColor rgb="FFFFFF00"/>
        </patternFill>
      </fill>
    </dxf>
    <dxf>
      <font>
        <color theme="0"/>
      </font>
      <fill>
        <patternFill>
          <bgColor rgb="FFC00000"/>
        </patternFill>
      </fill>
    </dxf>
    <dxf>
      <fill>
        <patternFill>
          <bgColor rgb="FF00B050"/>
        </patternFill>
      </fill>
    </dxf>
    <dxf>
      <font>
        <color theme="0"/>
      </font>
      <fill>
        <patternFill>
          <bgColor rgb="FFFF0000"/>
        </patternFill>
      </fill>
    </dxf>
    <dxf>
      <font>
        <color theme="0"/>
      </font>
      <fill>
        <patternFill>
          <bgColor rgb="FFFF0000"/>
        </patternFill>
      </fill>
    </dxf>
    <dxf>
      <fill>
        <patternFill>
          <bgColor theme="6" tint="0.79998168889431442"/>
        </patternFill>
      </fill>
    </dxf>
    <dxf>
      <fill>
        <patternFill>
          <bgColor rgb="FFFFFF00"/>
        </patternFill>
      </fill>
    </dxf>
    <dxf>
      <fill>
        <patternFill>
          <bgColor rgb="FF00B050"/>
        </patternFill>
      </fill>
    </dxf>
    <dxf>
      <fill>
        <patternFill>
          <bgColor rgb="FFFF0000"/>
        </patternFill>
      </fill>
    </dxf>
    <dxf>
      <font>
        <color theme="0"/>
      </font>
      <fill>
        <patternFill>
          <bgColor rgb="FFFF0000"/>
        </patternFill>
      </fill>
    </dxf>
    <dxf>
      <fill>
        <patternFill>
          <bgColor theme="6" tint="0.79998168889431442"/>
        </patternFill>
      </fill>
    </dxf>
    <dxf>
      <fill>
        <patternFill>
          <bgColor rgb="FF00B050"/>
        </patternFill>
      </fill>
    </dxf>
    <dxf>
      <fill>
        <patternFill>
          <bgColor rgb="FFFFFF00"/>
        </patternFill>
      </fill>
    </dxf>
    <dxf>
      <fill>
        <patternFill>
          <bgColor rgb="FFFF0000"/>
        </patternFill>
      </fill>
    </dxf>
    <dxf>
      <fill>
        <patternFill>
          <bgColor rgb="FF00B050"/>
        </patternFill>
      </fill>
    </dxf>
    <dxf>
      <font>
        <b/>
        <i val="0"/>
        <color theme="1"/>
      </font>
      <fill>
        <patternFill>
          <bgColor rgb="FFFFFF00"/>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ont>
        <color theme="0"/>
      </font>
      <fill>
        <patternFill>
          <bgColor rgb="FFFF0000"/>
        </patternFill>
      </fill>
    </dxf>
    <dxf>
      <font>
        <b/>
        <i val="0"/>
        <color theme="1"/>
      </font>
      <fill>
        <patternFill>
          <bgColor rgb="FF92D050"/>
        </patternFill>
      </fill>
    </dxf>
    <dxf>
      <font>
        <b/>
        <i val="0"/>
        <color theme="0"/>
      </font>
      <fill>
        <patternFill>
          <bgColor rgb="FFFF0000"/>
        </patternFill>
      </fill>
    </dxf>
    <dxf>
      <font>
        <b/>
        <i val="0"/>
        <color theme="1"/>
      </font>
      <fill>
        <patternFill>
          <bgColor rgb="FFFFFF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00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31F343"/>
        </patternFill>
      </fill>
    </dxf>
    <dxf>
      <fill>
        <patternFill>
          <bgColor rgb="FFFFFF00"/>
        </patternFill>
      </fill>
    </dxf>
    <dxf>
      <fill>
        <patternFill>
          <bgColor rgb="FF00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FF00"/>
        </patternFill>
      </fill>
    </dxf>
    <dxf>
      <fill>
        <patternFill>
          <bgColor rgb="FF60F52B"/>
        </patternFill>
      </fill>
    </dxf>
    <dxf>
      <fill>
        <patternFill>
          <bgColor rgb="FFFF0000"/>
        </patternFill>
      </fill>
    </dxf>
    <dxf>
      <fill>
        <patternFill>
          <bgColor rgb="FF24E83B"/>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strike val="0"/>
        <condense val="0"/>
        <extend val="0"/>
        <outline val="0"/>
        <shadow val="0"/>
        <u val="none"/>
        <vertAlign val="baseline"/>
        <sz val="10"/>
        <color indexed="8"/>
        <name val="Arial"/>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border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solid">
          <fgColor indexed="64"/>
          <bgColor theme="0"/>
        </patternFill>
      </fill>
      <alignment horizontal="general" vertical="center"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solid">
          <fgColor indexed="64"/>
          <bgColor theme="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Arial"/>
        <scheme val="none"/>
      </font>
      <numFmt numFmtId="167" formatCode="_-* #,##0_-;\-* #,##0_-;_-*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style="thin">
          <color theme="4" tint="0.39997558519241921"/>
        </bottom>
      </border>
      <protection locked="1" hidden="0"/>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strike val="0"/>
        <outline val="0"/>
        <shadow val="0"/>
        <u val="none"/>
        <vertAlign val="baseline"/>
        <name val="Arial"/>
        <scheme val="none"/>
      </font>
      <protection locked="1" hidden="0"/>
    </dxf>
    <dxf>
      <border outline="0">
        <bottom style="thin">
          <color theme="4" tint="0.39997558519241921"/>
        </bottom>
      </border>
    </dxf>
    <dxf>
      <font>
        <strike val="0"/>
        <outline val="0"/>
        <shadow val="0"/>
        <u val="none"/>
        <vertAlign val="baseline"/>
        <name val="Arial"/>
        <scheme val="none"/>
      </font>
      <protection locked="1" hidden="0"/>
    </dxf>
    <dxf>
      <font>
        <b val="0"/>
        <i val="0"/>
        <strike val="0"/>
        <condense val="0"/>
        <extend val="0"/>
        <outline val="0"/>
        <shadow val="0"/>
        <u val="none"/>
        <vertAlign val="baseline"/>
        <sz val="11"/>
        <color auto="1"/>
        <name val="Arial"/>
        <scheme val="none"/>
      </font>
      <numFmt numFmtId="167" formatCode="_-* #,##0_-;\-* #,##0_-;_-* &quot;-&quot;??_-;_-@_-"/>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name val="Arial"/>
        <scheme val="none"/>
      </font>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name val="Arial"/>
        <scheme val="none"/>
      </font>
      <numFmt numFmtId="185" formatCode="_-* #.##0_-;\-* #.##0_-;_-* &quot;-&quot;??_-;_-@_-"/>
      <protection locked="1" hidden="0"/>
    </dxf>
    <dxf>
      <font>
        <b val="0"/>
        <i val="0"/>
        <strike val="0"/>
        <condense val="0"/>
        <extend val="0"/>
        <outline val="0"/>
        <shadow val="0"/>
        <u val="none"/>
        <vertAlign val="baseline"/>
        <sz val="11"/>
        <color auto="1"/>
        <name val="Arial"/>
        <scheme val="none"/>
      </font>
      <numFmt numFmtId="167" formatCode="_-* #,##0_-;\-* #,##0_-;_-* &quot;-&quot;??_-;_-@_-"/>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Arial"/>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FF0000"/>
        <name val="Arial"/>
        <scheme val="none"/>
      </font>
      <numFmt numFmtId="13" formatCode="0%"/>
      <fill>
        <patternFill patternType="solid">
          <fgColor indexed="64"/>
          <bgColor rgb="FFFFFF00"/>
        </patternFill>
      </fill>
      <alignment horizontal="center" vertical="center" textRotation="0" wrapText="1"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10"/>
        <color rgb="FFFF0000"/>
        <name val="Arial"/>
        <scheme val="none"/>
      </font>
      <numFmt numFmtId="13" formatCode="0%"/>
      <alignment horizontal="center" vertical="center" textRotation="0" wrapText="1"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10"/>
        <color rgb="FFFF0000"/>
        <name val="Arial"/>
        <scheme val="none"/>
      </font>
      <numFmt numFmtId="13" formatCode="0%"/>
      <fill>
        <patternFill patternType="solid">
          <fgColor indexed="64"/>
          <bgColor rgb="FFFFFF00"/>
        </patternFill>
      </fill>
      <alignment horizontal="center" vertical="center" textRotation="0" wrapText="1"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10"/>
        <color rgb="FF000000"/>
        <name val="Arial"/>
        <scheme val="none"/>
      </font>
      <alignment horizontal="justify" vertical="center" textRotation="0" wrapText="1" indent="0" justifyLastLine="0" shrinkToFit="0" readingOrder="0"/>
      <border diagonalUp="0" diagonalDown="0">
        <left/>
        <right/>
        <top/>
        <bottom style="medium">
          <color indexed="64"/>
        </bottom>
      </border>
      <protection locked="1" hidden="0"/>
    </dxf>
    <dxf>
      <border outline="0">
        <left style="medium">
          <color indexed="64"/>
        </left>
        <right style="medium">
          <color indexed="64"/>
        </right>
        <bottom style="medium">
          <color indexed="64"/>
        </bottom>
      </border>
    </dxf>
    <dxf>
      <font>
        <strike val="0"/>
        <outline val="0"/>
        <shadow val="0"/>
        <u val="none"/>
        <vertAlign val="baseline"/>
        <sz val="10"/>
        <name val="Arial"/>
        <scheme val="none"/>
      </font>
      <protection locked="1" hidden="0"/>
    </dxf>
    <dxf>
      <border outline="0">
        <bottom style="medium">
          <color indexed="64"/>
        </bottom>
      </border>
    </dxf>
    <dxf>
      <font>
        <b/>
        <i val="0"/>
        <strike val="0"/>
        <condense val="0"/>
        <extend val="0"/>
        <outline val="0"/>
        <shadow val="0"/>
        <u val="none"/>
        <vertAlign val="baseline"/>
        <sz val="10"/>
        <color rgb="FF000000"/>
        <name val="Arial"/>
        <scheme val="none"/>
      </font>
      <alignment horizontal="center" vertical="center" textRotation="0" wrapText="1" indent="0" justifyLastLine="0" shrinkToFit="0" readingOrder="0"/>
      <protection locked="1" hidden="0"/>
    </dxf>
    <dxf>
      <font>
        <strike val="0"/>
        <outline val="0"/>
        <shadow val="0"/>
        <vertAlign val="baseline"/>
        <name val="Arial"/>
        <scheme val="none"/>
      </font>
      <numFmt numFmtId="13" formatCode="0%"/>
      <alignment horizontal="center" vertical="bottom" textRotation="0" wrapText="0" indent="0" justifyLastLine="0" shrinkToFit="0" readingOrder="0"/>
      <protection locked="1" hidden="1"/>
    </dxf>
    <dxf>
      <font>
        <strike val="0"/>
        <outline val="0"/>
        <shadow val="0"/>
        <vertAlign val="baseline"/>
        <name val="Arial"/>
        <scheme val="none"/>
      </font>
      <numFmt numFmtId="13" formatCode="0%"/>
      <alignment horizontal="center" vertical="bottom" textRotation="0" wrapText="0" indent="0" justifyLastLine="0" shrinkToFit="0" readingOrder="0"/>
      <protection locked="1" hidden="1"/>
    </dxf>
    <dxf>
      <font>
        <strike val="0"/>
        <outline val="0"/>
        <shadow val="0"/>
        <vertAlign val="baseline"/>
        <color auto="1"/>
        <name val="Arial"/>
        <scheme val="none"/>
      </font>
      <numFmt numFmtId="13" formatCode="0%"/>
      <alignment horizontal="center" vertical="bottom" textRotation="0" wrapText="0" indent="0" justifyLastLine="0" shrinkToFit="0" readingOrder="0"/>
      <protection locked="1" hidden="1"/>
    </dxf>
    <dxf>
      <font>
        <strike val="0"/>
        <outline val="0"/>
        <shadow val="0"/>
        <u val="none"/>
        <vertAlign val="baseline"/>
        <sz val="11"/>
        <color auto="1"/>
        <name val="Arial"/>
        <scheme val="none"/>
      </font>
      <numFmt numFmtId="14" formatCode="0.00%"/>
      <alignment horizontal="center" vertical="bottom" textRotation="0" wrapText="0" indent="0" justifyLastLine="0" shrinkToFit="0" readingOrder="0"/>
      <protection locked="1" hidden="1"/>
    </dxf>
    <dxf>
      <font>
        <strike val="0"/>
        <outline val="0"/>
        <shadow val="0"/>
        <vertAlign val="baseline"/>
        <name val="Arial"/>
        <scheme val="none"/>
      </font>
      <numFmt numFmtId="13" formatCode="0%"/>
      <alignment horizontal="center" vertical="bottom" textRotation="0" wrapText="0" indent="0" justifyLastLine="0" shrinkToFit="0" readingOrder="0"/>
      <protection locked="1" hidden="1"/>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u val="none"/>
        <vertAlign val="baseline"/>
        <sz val="11"/>
        <color theme="1"/>
        <name val="Arial"/>
        <scheme val="none"/>
      </font>
      <fill>
        <patternFill patternType="solid">
          <fgColor indexed="64"/>
          <bgColor theme="5"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5" tint="0.39997558519241921"/>
        </patternFill>
      </fill>
      <alignment horizontal="center" vertical="center" textRotation="0" wrapText="1" indent="0" justifyLastLine="0" shrinkToFit="0" readingOrder="0"/>
    </dxf>
    <dxf>
      <font>
        <strike val="0"/>
        <outline val="0"/>
        <shadow val="0"/>
        <u val="none"/>
        <vertAlign val="baseline"/>
        <sz val="11"/>
        <color theme="1"/>
        <name val="Arial"/>
        <scheme val="none"/>
      </font>
      <fill>
        <patternFill patternType="solid">
          <fgColor indexed="64"/>
          <bgColor theme="5" tint="0.39997558519241921"/>
        </patternFill>
      </fill>
      <alignment horizontal="center" vertical="center" textRotation="0" wrapText="1" indent="0" justifyLastLine="0" shrinkToFit="0" readingOrder="0"/>
    </dxf>
    <dxf>
      <font>
        <strike val="0"/>
        <outline val="0"/>
        <shadow val="0"/>
        <u val="none"/>
        <vertAlign val="baseline"/>
        <sz val="11"/>
        <color theme="1"/>
        <name val="Arial"/>
        <scheme val="none"/>
      </font>
      <fill>
        <patternFill patternType="solid">
          <fgColor indexed="64"/>
          <bgColor rgb="FFC0000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right/>
        <top style="thin">
          <color theme="4" tint="0.39997558519241921"/>
        </top>
        <bottom style="thin">
          <color theme="4" tint="0.39997558519241921"/>
        </bottom>
        <vertical/>
        <horizontal/>
      </border>
    </dxf>
    <dxf>
      <border outline="0">
        <left style="thin">
          <color theme="4" tint="0.39997558519241921"/>
        </left>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13" formatCode="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0"/>
        <color theme="1"/>
        <name val="Calibri"/>
        <scheme val="minor"/>
      </font>
    </dxf>
  </dxfs>
  <tableStyles count="0" defaultTableStyle="TableStyleMedium2" defaultPivotStyle="PivotStyleLight16"/>
  <colors>
    <mruColors>
      <color rgb="FFCEE193"/>
      <color rgb="FFBAFCEB"/>
      <color rgb="FF00FF00"/>
      <color rgb="FF99FFCC"/>
      <color rgb="FFD6BBEB"/>
      <color rgb="FFEE0000"/>
      <color rgb="FFFC6A28"/>
      <color rgb="FFFABA86"/>
      <color rgb="FFCBA9E5"/>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fmlaLink="$A$15" lockText="1" noThreeD="1"/>
</file>

<file path=xl/ctrlProps/ctrlProp2.xml><?xml version="1.0" encoding="utf-8"?>
<formControlPr xmlns="http://schemas.microsoft.com/office/spreadsheetml/2009/9/main" objectType="CheckBox" checked="Checked" fmlaLink="$A$16" lockText="1" noThreeD="1"/>
</file>

<file path=xl/ctrlProps/ctrlProp3.xml><?xml version="1.0" encoding="utf-8"?>
<formControlPr xmlns="http://schemas.microsoft.com/office/spreadsheetml/2009/9/main" objectType="CheckBox" checked="Checked" fmlaLink="$A$17" lockText="1" noThreeD="1"/>
</file>

<file path=xl/ctrlProps/ctrlProp4.xml><?xml version="1.0" encoding="utf-8"?>
<formControlPr xmlns="http://schemas.microsoft.com/office/spreadsheetml/2009/9/main" objectType="CheckBox" checked="Checked" fmlaLink="$A$1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47</xdr:col>
      <xdr:colOff>195943</xdr:colOff>
      <xdr:row>19</xdr:row>
      <xdr:rowOff>97971</xdr:rowOff>
    </xdr:from>
    <xdr:to>
      <xdr:col>51</xdr:col>
      <xdr:colOff>49530</xdr:colOff>
      <xdr:row>30</xdr:row>
      <xdr:rowOff>270336</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69298457" y="10765971"/>
          <a:ext cx="5612130" cy="2992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557892</xdr:colOff>
      <xdr:row>0</xdr:row>
      <xdr:rowOff>54431</xdr:rowOff>
    </xdr:from>
    <xdr:to>
      <xdr:col>2</xdr:col>
      <xdr:colOff>1360714</xdr:colOff>
      <xdr:row>1</xdr:row>
      <xdr:rowOff>247850</xdr:rowOff>
    </xdr:to>
    <xdr:pic>
      <xdr:nvPicPr>
        <xdr:cNvPr id="2" name="image2.jpg" descr="logo nuevo contralori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892" y="54431"/>
          <a:ext cx="802822" cy="8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491216</xdr:colOff>
      <xdr:row>0</xdr:row>
      <xdr:rowOff>54431</xdr:rowOff>
    </xdr:from>
    <xdr:to>
      <xdr:col>2</xdr:col>
      <xdr:colOff>1790700</xdr:colOff>
      <xdr:row>1</xdr:row>
      <xdr:rowOff>247850</xdr:rowOff>
    </xdr:to>
    <xdr:pic>
      <xdr:nvPicPr>
        <xdr:cNvPr id="3" name="image2.jpg" descr="logo nuevo contralori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216" y="54431"/>
          <a:ext cx="1299484" cy="866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513137</xdr:colOff>
      <xdr:row>0</xdr:row>
      <xdr:rowOff>84604</xdr:rowOff>
    </xdr:from>
    <xdr:to>
      <xdr:col>1</xdr:col>
      <xdr:colOff>1667384</xdr:colOff>
      <xdr:row>1</xdr:row>
      <xdr:rowOff>291352</xdr:rowOff>
    </xdr:to>
    <xdr:pic>
      <xdr:nvPicPr>
        <xdr:cNvPr id="2" name="image2.jpg" descr="logo nuevo contralori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137" y="84604"/>
          <a:ext cx="1154247" cy="81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409574</xdr:colOff>
      <xdr:row>0</xdr:row>
      <xdr:rowOff>123826</xdr:rowOff>
    </xdr:from>
    <xdr:to>
      <xdr:col>1</xdr:col>
      <xdr:colOff>1721067</xdr:colOff>
      <xdr:row>1</xdr:row>
      <xdr:rowOff>364135</xdr:rowOff>
    </xdr:to>
    <xdr:pic>
      <xdr:nvPicPr>
        <xdr:cNvPr id="2" name="image2.jpg" descr="logo nuevo contralor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4" y="123826"/>
          <a:ext cx="1311493" cy="897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255494</xdr:colOff>
      <xdr:row>0</xdr:row>
      <xdr:rowOff>59391</xdr:rowOff>
    </xdr:from>
    <xdr:to>
      <xdr:col>1</xdr:col>
      <xdr:colOff>1209675</xdr:colOff>
      <xdr:row>1</xdr:row>
      <xdr:rowOff>218066</xdr:rowOff>
    </xdr:to>
    <xdr:pic>
      <xdr:nvPicPr>
        <xdr:cNvPr id="2" name="image2.jpg" descr="logo nuevo contralori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094" y="59391"/>
          <a:ext cx="954181" cy="6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598713</xdr:colOff>
      <xdr:row>0</xdr:row>
      <xdr:rowOff>13608</xdr:rowOff>
    </xdr:from>
    <xdr:to>
      <xdr:col>0</xdr:col>
      <xdr:colOff>1850571</xdr:colOff>
      <xdr:row>1</xdr:row>
      <xdr:rowOff>294896</xdr:rowOff>
    </xdr:to>
    <xdr:pic>
      <xdr:nvPicPr>
        <xdr:cNvPr id="2" name="image2.jpg" descr="logo nuevo contralori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713" y="13608"/>
          <a:ext cx="1251858" cy="880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598713</xdr:colOff>
      <xdr:row>0</xdr:row>
      <xdr:rowOff>13608</xdr:rowOff>
    </xdr:from>
    <xdr:to>
      <xdr:col>0</xdr:col>
      <xdr:colOff>1850571</xdr:colOff>
      <xdr:row>1</xdr:row>
      <xdr:rowOff>294896</xdr:rowOff>
    </xdr:to>
    <xdr:pic>
      <xdr:nvPicPr>
        <xdr:cNvPr id="2" name="image2.jpg" descr="logo nuevo contralori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713" y="13608"/>
          <a:ext cx="1251858" cy="875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435429</xdr:colOff>
      <xdr:row>1</xdr:row>
      <xdr:rowOff>81643</xdr:rowOff>
    </xdr:from>
    <xdr:to>
      <xdr:col>0</xdr:col>
      <xdr:colOff>1823356</xdr:colOff>
      <xdr:row>2</xdr:row>
      <xdr:rowOff>417761</xdr:rowOff>
    </xdr:to>
    <xdr:pic>
      <xdr:nvPicPr>
        <xdr:cNvPr id="2" name="image2.jpg" descr="logo nuevo contralori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429" y="285750"/>
          <a:ext cx="1387927" cy="975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406791</xdr:colOff>
      <xdr:row>0</xdr:row>
      <xdr:rowOff>150333</xdr:rowOff>
    </xdr:from>
    <xdr:to>
      <xdr:col>0</xdr:col>
      <xdr:colOff>1823357</xdr:colOff>
      <xdr:row>1</xdr:row>
      <xdr:rowOff>417822</xdr:rowOff>
    </xdr:to>
    <xdr:pic>
      <xdr:nvPicPr>
        <xdr:cNvPr id="2" name="image2.jpg" descr="logo nuevo contralori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791" y="150333"/>
          <a:ext cx="1416566" cy="1111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302079</xdr:colOff>
      <xdr:row>1</xdr:row>
      <xdr:rowOff>119745</xdr:rowOff>
    </xdr:from>
    <xdr:to>
      <xdr:col>0</xdr:col>
      <xdr:colOff>1524000</xdr:colOff>
      <xdr:row>2</xdr:row>
      <xdr:rowOff>584766</xdr:rowOff>
    </xdr:to>
    <xdr:pic>
      <xdr:nvPicPr>
        <xdr:cNvPr id="3" name="image2.jpg" descr="logo nuevo contraloria">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079" y="310245"/>
          <a:ext cx="1221921" cy="79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119346</xdr:colOff>
      <xdr:row>63</xdr:row>
      <xdr:rowOff>135912</xdr:rowOff>
    </xdr:from>
    <xdr:to>
      <xdr:col>7</xdr:col>
      <xdr:colOff>794556</xdr:colOff>
      <xdr:row>63</xdr:row>
      <xdr:rowOff>689163</xdr:rowOff>
    </xdr:to>
    <xdr:sp macro="" textlink="">
      <xdr:nvSpPr>
        <xdr:cNvPr id="5" name="Flecha curvada hacia abajo 4">
          <a:extLst>
            <a:ext uri="{FF2B5EF4-FFF2-40B4-BE49-F238E27FC236}">
              <a16:creationId xmlns:a16="http://schemas.microsoft.com/office/drawing/2014/main" id="{00000000-0008-0000-0B00-000005000000}"/>
            </a:ext>
          </a:extLst>
        </xdr:cNvPr>
        <xdr:cNvSpPr/>
      </xdr:nvSpPr>
      <xdr:spPr>
        <a:xfrm rot="1769162">
          <a:off x="13723287" y="18132559"/>
          <a:ext cx="1470828" cy="553251"/>
        </a:xfrm>
        <a:prstGeom prst="curvedDown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0</xdr:col>
      <xdr:colOff>1176618</xdr:colOff>
      <xdr:row>74</xdr:row>
      <xdr:rowOff>246529</xdr:rowOff>
    </xdr:from>
    <xdr:to>
      <xdr:col>0</xdr:col>
      <xdr:colOff>1222337</xdr:colOff>
      <xdr:row>74</xdr:row>
      <xdr:rowOff>292248</xdr:rowOff>
    </xdr:to>
    <xdr:sp macro="" textlink="">
      <xdr:nvSpPr>
        <xdr:cNvPr id="6" name="Flecha curvada hacia la derecha 5">
          <a:extLst>
            <a:ext uri="{FF2B5EF4-FFF2-40B4-BE49-F238E27FC236}">
              <a16:creationId xmlns:a16="http://schemas.microsoft.com/office/drawing/2014/main" id="{00000000-0008-0000-0B00-000006000000}"/>
            </a:ext>
          </a:extLst>
        </xdr:cNvPr>
        <xdr:cNvSpPr/>
      </xdr:nvSpPr>
      <xdr:spPr>
        <a:xfrm>
          <a:off x="1176618" y="19408588"/>
          <a:ext cx="45719" cy="45719"/>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0</xdr:col>
      <xdr:colOff>48201</xdr:colOff>
      <xdr:row>63</xdr:row>
      <xdr:rowOff>750795</xdr:rowOff>
    </xdr:from>
    <xdr:to>
      <xdr:col>0</xdr:col>
      <xdr:colOff>818028</xdr:colOff>
      <xdr:row>77</xdr:row>
      <xdr:rowOff>22413</xdr:rowOff>
    </xdr:to>
    <xdr:sp macro="" textlink="">
      <xdr:nvSpPr>
        <xdr:cNvPr id="7" name="Flecha curvada hacia la derecha 6">
          <a:extLst>
            <a:ext uri="{FF2B5EF4-FFF2-40B4-BE49-F238E27FC236}">
              <a16:creationId xmlns:a16="http://schemas.microsoft.com/office/drawing/2014/main" id="{00000000-0008-0000-0B00-000007000000}"/>
            </a:ext>
          </a:extLst>
        </xdr:cNvPr>
        <xdr:cNvSpPr/>
      </xdr:nvSpPr>
      <xdr:spPr>
        <a:xfrm>
          <a:off x="48201" y="18747442"/>
          <a:ext cx="769827" cy="1680883"/>
        </a:xfrm>
        <a:prstGeom prst="curvedRigh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56030</xdr:colOff>
      <xdr:row>77</xdr:row>
      <xdr:rowOff>11206</xdr:rowOff>
    </xdr:from>
    <xdr:to>
      <xdr:col>8</xdr:col>
      <xdr:colOff>627529</xdr:colOff>
      <xdr:row>78</xdr:row>
      <xdr:rowOff>112059</xdr:rowOff>
    </xdr:to>
    <xdr:sp macro="" textlink="">
      <xdr:nvSpPr>
        <xdr:cNvPr id="8" name="Flecha izquierda 7">
          <a:extLst>
            <a:ext uri="{FF2B5EF4-FFF2-40B4-BE49-F238E27FC236}">
              <a16:creationId xmlns:a16="http://schemas.microsoft.com/office/drawing/2014/main" id="{00000000-0008-0000-0B00-000008000000}"/>
            </a:ext>
          </a:extLst>
        </xdr:cNvPr>
        <xdr:cNvSpPr/>
      </xdr:nvSpPr>
      <xdr:spPr>
        <a:xfrm>
          <a:off x="15464118" y="20417118"/>
          <a:ext cx="571499" cy="291353"/>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35856</xdr:colOff>
      <xdr:row>74</xdr:row>
      <xdr:rowOff>528353</xdr:rowOff>
    </xdr:from>
    <xdr:to>
      <xdr:col>1</xdr:col>
      <xdr:colOff>246532</xdr:colOff>
      <xdr:row>75</xdr:row>
      <xdr:rowOff>253249</xdr:rowOff>
    </xdr:to>
    <xdr:sp macro="" textlink="">
      <xdr:nvSpPr>
        <xdr:cNvPr id="10" name="Flecha izquierda 9">
          <a:extLst>
            <a:ext uri="{FF2B5EF4-FFF2-40B4-BE49-F238E27FC236}">
              <a16:creationId xmlns:a16="http://schemas.microsoft.com/office/drawing/2014/main" id="{00000000-0008-0000-0B00-00000A000000}"/>
            </a:ext>
          </a:extLst>
        </xdr:cNvPr>
        <xdr:cNvSpPr/>
      </xdr:nvSpPr>
      <xdr:spPr>
        <a:xfrm rot="16200000">
          <a:off x="2082893" y="19862140"/>
          <a:ext cx="397249" cy="210676"/>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51547</xdr:colOff>
      <xdr:row>81</xdr:row>
      <xdr:rowOff>51548</xdr:rowOff>
    </xdr:from>
    <xdr:to>
      <xdr:col>8</xdr:col>
      <xdr:colOff>623046</xdr:colOff>
      <xdr:row>82</xdr:row>
      <xdr:rowOff>145677</xdr:rowOff>
    </xdr:to>
    <xdr:sp macro="" textlink="">
      <xdr:nvSpPr>
        <xdr:cNvPr id="11" name="Flecha izquierda 10">
          <a:extLst>
            <a:ext uri="{FF2B5EF4-FFF2-40B4-BE49-F238E27FC236}">
              <a16:creationId xmlns:a16="http://schemas.microsoft.com/office/drawing/2014/main" id="{00000000-0008-0000-0B00-00000B000000}"/>
            </a:ext>
          </a:extLst>
        </xdr:cNvPr>
        <xdr:cNvSpPr/>
      </xdr:nvSpPr>
      <xdr:spPr>
        <a:xfrm>
          <a:off x="15459635" y="21443577"/>
          <a:ext cx="571499" cy="284629"/>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8965</xdr:colOff>
      <xdr:row>24</xdr:row>
      <xdr:rowOff>26895</xdr:rowOff>
    </xdr:from>
    <xdr:to>
      <xdr:col>4</xdr:col>
      <xdr:colOff>344245</xdr:colOff>
      <xdr:row>24</xdr:row>
      <xdr:rowOff>186915</xdr:rowOff>
    </xdr:to>
    <xdr:sp macro="" textlink="">
      <xdr:nvSpPr>
        <xdr:cNvPr id="2" name="Flecha izquierda 7">
          <a:extLst>
            <a:ext uri="{FF2B5EF4-FFF2-40B4-BE49-F238E27FC236}">
              <a16:creationId xmlns:a16="http://schemas.microsoft.com/office/drawing/2014/main" id="{00000000-0008-0000-0B00-000002000000}"/>
            </a:ext>
          </a:extLst>
        </xdr:cNvPr>
        <xdr:cNvSpPr/>
      </xdr:nvSpPr>
      <xdr:spPr>
        <a:xfrm>
          <a:off x="9251577" y="7198660"/>
          <a:ext cx="335280" cy="160020"/>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1955686</xdr:colOff>
      <xdr:row>98</xdr:row>
      <xdr:rowOff>1</xdr:rowOff>
    </xdr:from>
    <xdr:to>
      <xdr:col>6</xdr:col>
      <xdr:colOff>998083</xdr:colOff>
      <xdr:row>98</xdr:row>
      <xdr:rowOff>464703</xdr:rowOff>
    </xdr:to>
    <xdr:sp macro="" textlink="">
      <xdr:nvSpPr>
        <xdr:cNvPr id="2" name="2 Rectángulo redondeado">
          <a:extLst>
            <a:ext uri="{FF2B5EF4-FFF2-40B4-BE49-F238E27FC236}">
              <a16:creationId xmlns:a16="http://schemas.microsoft.com/office/drawing/2014/main" id="{00000000-0008-0000-0C00-000002000000}"/>
            </a:ext>
          </a:extLst>
        </xdr:cNvPr>
        <xdr:cNvSpPr/>
      </xdr:nvSpPr>
      <xdr:spPr>
        <a:xfrm>
          <a:off x="2412886" y="49366715"/>
          <a:ext cx="11702483" cy="464702"/>
        </a:xfrm>
        <a:prstGeom prst="round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b="1">
              <a:solidFill>
                <a:schemeClr val="bg1"/>
              </a:solidFill>
            </a:rPr>
            <a:t>CONCEPTO</a:t>
          </a:r>
          <a:r>
            <a:rPr lang="es-CO" sz="2800" b="1" baseline="0">
              <a:solidFill>
                <a:schemeClr val="bg1"/>
              </a:solidFill>
            </a:rPr>
            <a:t> PRESUPUESTAL</a:t>
          </a:r>
          <a:endParaRPr lang="es-CO" sz="1100" b="1">
            <a:solidFill>
              <a:schemeClr val="bg1"/>
            </a:solidFill>
          </a:endParaRPr>
        </a:p>
      </xdr:txBody>
    </xdr:sp>
    <xdr:clientData/>
  </xdr:twoCellAnchor>
  <xdr:twoCellAnchor editAs="oneCell">
    <xdr:from>
      <xdr:col>1</xdr:col>
      <xdr:colOff>454478</xdr:colOff>
      <xdr:row>1</xdr:row>
      <xdr:rowOff>119745</xdr:rowOff>
    </xdr:from>
    <xdr:to>
      <xdr:col>1</xdr:col>
      <xdr:colOff>1828799</xdr:colOff>
      <xdr:row>2</xdr:row>
      <xdr:rowOff>385278</xdr:rowOff>
    </xdr:to>
    <xdr:pic>
      <xdr:nvPicPr>
        <xdr:cNvPr id="3" name="image2.jpg" descr="logo nuevo contraloria">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153" y="300720"/>
          <a:ext cx="1374321" cy="101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454478</xdr:colOff>
      <xdr:row>1</xdr:row>
      <xdr:rowOff>119745</xdr:rowOff>
    </xdr:from>
    <xdr:to>
      <xdr:col>1</xdr:col>
      <xdr:colOff>1828799</xdr:colOff>
      <xdr:row>2</xdr:row>
      <xdr:rowOff>385278</xdr:rowOff>
    </xdr:to>
    <xdr:pic>
      <xdr:nvPicPr>
        <xdr:cNvPr id="4" name="image2.jpg" descr="logo nuevo contraloria">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153" y="300720"/>
          <a:ext cx="1374321" cy="101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454478</xdr:colOff>
      <xdr:row>1</xdr:row>
      <xdr:rowOff>119745</xdr:rowOff>
    </xdr:from>
    <xdr:to>
      <xdr:col>1</xdr:col>
      <xdr:colOff>1828799</xdr:colOff>
      <xdr:row>2</xdr:row>
      <xdr:rowOff>385278</xdr:rowOff>
    </xdr:to>
    <xdr:pic>
      <xdr:nvPicPr>
        <xdr:cNvPr id="5" name="image2.jpg" descr="logo nuevo contraloria">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153" y="300720"/>
          <a:ext cx="1374321" cy="101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1395843</xdr:colOff>
      <xdr:row>17</xdr:row>
      <xdr:rowOff>62343</xdr:rowOff>
    </xdr:from>
    <xdr:to>
      <xdr:col>3</xdr:col>
      <xdr:colOff>1967342</xdr:colOff>
      <xdr:row>17</xdr:row>
      <xdr:rowOff>335766</xdr:rowOff>
    </xdr:to>
    <xdr:sp macro="" textlink="">
      <xdr:nvSpPr>
        <xdr:cNvPr id="7" name="Flecha izquierda 10">
          <a:extLst>
            <a:ext uri="{FF2B5EF4-FFF2-40B4-BE49-F238E27FC236}">
              <a16:creationId xmlns:a16="http://schemas.microsoft.com/office/drawing/2014/main" id="{00000000-0008-0000-0C00-000007000000}"/>
            </a:ext>
          </a:extLst>
        </xdr:cNvPr>
        <xdr:cNvSpPr/>
      </xdr:nvSpPr>
      <xdr:spPr>
        <a:xfrm>
          <a:off x="7197434" y="5396343"/>
          <a:ext cx="571499" cy="273423"/>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2247651</xdr:colOff>
      <xdr:row>37</xdr:row>
      <xdr:rowOff>301336</xdr:rowOff>
    </xdr:from>
    <xdr:to>
      <xdr:col>7</xdr:col>
      <xdr:colOff>48241</xdr:colOff>
      <xdr:row>37</xdr:row>
      <xdr:rowOff>536863</xdr:rowOff>
    </xdr:to>
    <xdr:sp macro="" textlink="">
      <xdr:nvSpPr>
        <xdr:cNvPr id="8" name="Flecha izquierda 10">
          <a:extLst>
            <a:ext uri="{FF2B5EF4-FFF2-40B4-BE49-F238E27FC236}">
              <a16:creationId xmlns:a16="http://schemas.microsoft.com/office/drawing/2014/main" id="{00000000-0008-0000-0C00-000008000000}"/>
            </a:ext>
          </a:extLst>
        </xdr:cNvPr>
        <xdr:cNvSpPr/>
      </xdr:nvSpPr>
      <xdr:spPr>
        <a:xfrm>
          <a:off x="14869142" y="21221700"/>
          <a:ext cx="571499" cy="235527"/>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417370</xdr:colOff>
      <xdr:row>65</xdr:row>
      <xdr:rowOff>178380</xdr:rowOff>
    </xdr:from>
    <xdr:to>
      <xdr:col>1</xdr:col>
      <xdr:colOff>306534</xdr:colOff>
      <xdr:row>69</xdr:row>
      <xdr:rowOff>1733</xdr:rowOff>
    </xdr:to>
    <xdr:sp macro="" textlink="">
      <xdr:nvSpPr>
        <xdr:cNvPr id="9" name="Flecha izquierda 10">
          <a:extLst>
            <a:ext uri="{FF2B5EF4-FFF2-40B4-BE49-F238E27FC236}">
              <a16:creationId xmlns:a16="http://schemas.microsoft.com/office/drawing/2014/main" id="{00000000-0008-0000-0C00-000009000000}"/>
            </a:ext>
          </a:extLst>
        </xdr:cNvPr>
        <xdr:cNvSpPr/>
      </xdr:nvSpPr>
      <xdr:spPr>
        <a:xfrm rot="16200000">
          <a:off x="304802" y="35176693"/>
          <a:ext cx="571499" cy="346364"/>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2382981</xdr:colOff>
      <xdr:row>69</xdr:row>
      <xdr:rowOff>166255</xdr:rowOff>
    </xdr:from>
    <xdr:to>
      <xdr:col>5</xdr:col>
      <xdr:colOff>391389</xdr:colOff>
      <xdr:row>69</xdr:row>
      <xdr:rowOff>498764</xdr:rowOff>
    </xdr:to>
    <xdr:sp macro="" textlink="">
      <xdr:nvSpPr>
        <xdr:cNvPr id="13" name="Flecha izquierda 10">
          <a:extLst>
            <a:ext uri="{FF2B5EF4-FFF2-40B4-BE49-F238E27FC236}">
              <a16:creationId xmlns:a16="http://schemas.microsoft.com/office/drawing/2014/main" id="{00000000-0008-0000-0C00-00000D000000}"/>
            </a:ext>
          </a:extLst>
        </xdr:cNvPr>
        <xdr:cNvSpPr/>
      </xdr:nvSpPr>
      <xdr:spPr>
        <a:xfrm>
          <a:off x="10446326" y="35800146"/>
          <a:ext cx="571499" cy="332509"/>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119496</xdr:colOff>
      <xdr:row>71</xdr:row>
      <xdr:rowOff>642508</xdr:rowOff>
    </xdr:from>
    <xdr:to>
      <xdr:col>4</xdr:col>
      <xdr:colOff>443346</xdr:colOff>
      <xdr:row>71</xdr:row>
      <xdr:rowOff>1011386</xdr:rowOff>
    </xdr:to>
    <xdr:sp macro="" textlink="">
      <xdr:nvSpPr>
        <xdr:cNvPr id="14" name="Flecha izquierda 10">
          <a:extLst>
            <a:ext uri="{FF2B5EF4-FFF2-40B4-BE49-F238E27FC236}">
              <a16:creationId xmlns:a16="http://schemas.microsoft.com/office/drawing/2014/main" id="{00000000-0008-0000-0C00-00000E000000}"/>
            </a:ext>
          </a:extLst>
        </xdr:cNvPr>
        <xdr:cNvSpPr/>
      </xdr:nvSpPr>
      <xdr:spPr>
        <a:xfrm rot="16200000">
          <a:off x="8160327" y="37587386"/>
          <a:ext cx="368878" cy="323850"/>
        </a:xfrm>
        <a:prstGeom prst="leftArrow">
          <a:avLst/>
        </a:prstGeom>
        <a:solidFill>
          <a:srgbClr val="FFFF0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2086842</xdr:colOff>
      <xdr:row>71</xdr:row>
      <xdr:rowOff>656363</xdr:rowOff>
    </xdr:from>
    <xdr:to>
      <xdr:col>4</xdr:col>
      <xdr:colOff>2410692</xdr:colOff>
      <xdr:row>71</xdr:row>
      <xdr:rowOff>1025241</xdr:rowOff>
    </xdr:to>
    <xdr:sp macro="" textlink="">
      <xdr:nvSpPr>
        <xdr:cNvPr id="15" name="Flecha izquierda 10">
          <a:extLst>
            <a:ext uri="{FF2B5EF4-FFF2-40B4-BE49-F238E27FC236}">
              <a16:creationId xmlns:a16="http://schemas.microsoft.com/office/drawing/2014/main" id="{00000000-0008-0000-0C00-00000F000000}"/>
            </a:ext>
          </a:extLst>
        </xdr:cNvPr>
        <xdr:cNvSpPr/>
      </xdr:nvSpPr>
      <xdr:spPr>
        <a:xfrm rot="16200000">
          <a:off x="10127673" y="37601241"/>
          <a:ext cx="368878" cy="323850"/>
        </a:xfrm>
        <a:prstGeom prst="leftArrow">
          <a:avLst/>
        </a:prstGeom>
        <a:solidFill>
          <a:srgbClr val="FFFF0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55418</xdr:colOff>
      <xdr:row>19</xdr:row>
      <xdr:rowOff>235529</xdr:rowOff>
    </xdr:from>
    <xdr:to>
      <xdr:col>6</xdr:col>
      <xdr:colOff>626917</xdr:colOff>
      <xdr:row>19</xdr:row>
      <xdr:rowOff>568037</xdr:rowOff>
    </xdr:to>
    <xdr:sp macro="" textlink="">
      <xdr:nvSpPr>
        <xdr:cNvPr id="16" name="Flecha izquierda 10">
          <a:extLst>
            <a:ext uri="{FF2B5EF4-FFF2-40B4-BE49-F238E27FC236}">
              <a16:creationId xmlns:a16="http://schemas.microsoft.com/office/drawing/2014/main" id="{00000000-0008-0000-0C00-000010000000}"/>
            </a:ext>
          </a:extLst>
        </xdr:cNvPr>
        <xdr:cNvSpPr/>
      </xdr:nvSpPr>
      <xdr:spPr>
        <a:xfrm>
          <a:off x="12676909" y="6026729"/>
          <a:ext cx="571499" cy="332508"/>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225879</xdr:colOff>
      <xdr:row>1</xdr:row>
      <xdr:rowOff>176895</xdr:rowOff>
    </xdr:from>
    <xdr:to>
      <xdr:col>1</xdr:col>
      <xdr:colOff>1590675</xdr:colOff>
      <xdr:row>2</xdr:row>
      <xdr:rowOff>327591</xdr:rowOff>
    </xdr:to>
    <xdr:pic>
      <xdr:nvPicPr>
        <xdr:cNvPr id="4" name="image2.jpg" descr="logo nuevo contraloria">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829" y="367395"/>
          <a:ext cx="1364796" cy="79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521494</xdr:colOff>
      <xdr:row>1</xdr:row>
      <xdr:rowOff>178592</xdr:rowOff>
    </xdr:from>
    <xdr:to>
      <xdr:col>0</xdr:col>
      <xdr:colOff>1877986</xdr:colOff>
      <xdr:row>2</xdr:row>
      <xdr:rowOff>400049</xdr:rowOff>
    </xdr:to>
    <xdr:pic>
      <xdr:nvPicPr>
        <xdr:cNvPr id="3" name="image2.jpg" descr="logo nuevo contraloria">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494" y="369092"/>
          <a:ext cx="1356492" cy="869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210594</xdr:colOff>
      <xdr:row>0</xdr:row>
      <xdr:rowOff>58218</xdr:rowOff>
    </xdr:from>
    <xdr:to>
      <xdr:col>0</xdr:col>
      <xdr:colOff>1388630</xdr:colOff>
      <xdr:row>0</xdr:row>
      <xdr:rowOff>832715</xdr:rowOff>
    </xdr:to>
    <xdr:pic>
      <xdr:nvPicPr>
        <xdr:cNvPr id="2" name="image2.jpg" descr="logo nuevo contralori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4" y="58218"/>
          <a:ext cx="1174861" cy="77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210594</xdr:colOff>
      <xdr:row>0</xdr:row>
      <xdr:rowOff>58218</xdr:rowOff>
    </xdr:from>
    <xdr:to>
      <xdr:col>0</xdr:col>
      <xdr:colOff>1388630</xdr:colOff>
      <xdr:row>0</xdr:row>
      <xdr:rowOff>832715</xdr:rowOff>
    </xdr:to>
    <xdr:pic>
      <xdr:nvPicPr>
        <xdr:cNvPr id="3" name="image2.jpg" descr="logo nuevo contraloria">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4" y="58218"/>
          <a:ext cx="1178036" cy="77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239568</xdr:colOff>
      <xdr:row>0</xdr:row>
      <xdr:rowOff>82742</xdr:rowOff>
    </xdr:from>
    <xdr:to>
      <xdr:col>1</xdr:col>
      <xdr:colOff>1598468</xdr:colOff>
      <xdr:row>0</xdr:row>
      <xdr:rowOff>909730</xdr:rowOff>
    </xdr:to>
    <xdr:pic>
      <xdr:nvPicPr>
        <xdr:cNvPr id="2" name="image2.jpg" descr="logo nuevo contralori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168" y="82742"/>
          <a:ext cx="1352550" cy="826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381000</xdr:colOff>
          <xdr:row>14</xdr:row>
          <xdr:rowOff>19050</xdr:rowOff>
        </xdr:from>
        <xdr:to>
          <xdr:col>2</xdr:col>
          <xdr:colOff>2057400</xdr:colOff>
          <xdr:row>14</xdr:row>
          <xdr:rowOff>371475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1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VALOR PAGADO OTRAS FORMAS DE EJECUCIÓN DEL GASTO DE LA VIGENCIA AUDITAR DIFERENTES A CONTRATACIÓN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15</xdr:row>
          <xdr:rowOff>19050</xdr:rowOff>
        </xdr:from>
        <xdr:to>
          <xdr:col>2</xdr:col>
          <xdr:colOff>1819275</xdr:colOff>
          <xdr:row>16</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1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VALOR PAGADO CONTRATOS SUSCRITOS EN LA VIGENCIA A AUDITAR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16</xdr:row>
          <xdr:rowOff>19050</xdr:rowOff>
        </xdr:from>
        <xdr:to>
          <xdr:col>2</xdr:col>
          <xdr:colOff>1819275</xdr:colOff>
          <xdr:row>17</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1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VALOR PAGADO ADICIONES A CONTRATOS SUSCRITOS EN VIGENCIAS ANTERIORES EFECTUADAS DENTRO DE LA VIGENCIA AUDITAR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17</xdr:row>
          <xdr:rowOff>19050</xdr:rowOff>
        </xdr:from>
        <xdr:to>
          <xdr:col>2</xdr:col>
          <xdr:colOff>1819275</xdr:colOff>
          <xdr:row>18</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1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VALOR PAGADO CONTRATOS SUSCRITOS EN VIGENCIAS ANTERIORES CON GESTIÓN FISCAL EN LA VIGENCIA A AUDITAR </a:t>
              </a:r>
            </a:p>
          </xdr:txBody>
        </xdr:sp>
        <xdr:clientData fLocksWithSheet="0"/>
      </xdr:twoCellAnchor>
    </mc:Choice>
    <mc:Fallback/>
  </mc:AlternateContent>
  <xdr:twoCellAnchor editAs="oneCell">
    <xdr:from>
      <xdr:col>1</xdr:col>
      <xdr:colOff>239568</xdr:colOff>
      <xdr:row>0</xdr:row>
      <xdr:rowOff>82742</xdr:rowOff>
    </xdr:from>
    <xdr:to>
      <xdr:col>1</xdr:col>
      <xdr:colOff>1598468</xdr:colOff>
      <xdr:row>0</xdr:row>
      <xdr:rowOff>909730</xdr:rowOff>
    </xdr:to>
    <xdr:pic>
      <xdr:nvPicPr>
        <xdr:cNvPr id="7" name="image2.jpg" descr="logo nuevo contraloria">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168" y="82742"/>
          <a:ext cx="1358900" cy="826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527019</xdr:colOff>
      <xdr:row>0</xdr:row>
      <xdr:rowOff>62593</xdr:rowOff>
    </xdr:from>
    <xdr:to>
      <xdr:col>0</xdr:col>
      <xdr:colOff>1317171</xdr:colOff>
      <xdr:row>0</xdr:row>
      <xdr:rowOff>1038177</xdr:rowOff>
    </xdr:to>
    <xdr:pic>
      <xdr:nvPicPr>
        <xdr:cNvPr id="2" name="image2.jpg" descr="logo nuevo contralori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19" y="62593"/>
          <a:ext cx="790152" cy="975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527018</xdr:colOff>
      <xdr:row>0</xdr:row>
      <xdr:rowOff>62593</xdr:rowOff>
    </xdr:from>
    <xdr:to>
      <xdr:col>0</xdr:col>
      <xdr:colOff>1777999</xdr:colOff>
      <xdr:row>0</xdr:row>
      <xdr:rowOff>1038177</xdr:rowOff>
    </xdr:to>
    <xdr:pic>
      <xdr:nvPicPr>
        <xdr:cNvPr id="3" name="image2.jpg" descr="logo nuevo contraloria">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18" y="62593"/>
          <a:ext cx="1250981" cy="975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ER/AppData/Roaming/Microsoft/Excel/PVCGF-04-08%20Proceso%20de%20gasto%20p&#250;blico%20(1)%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ER/Downloads/PVCGF-%2004-13%20Instrumento%20para%20la%20Calificacio&#769;n%20a%20la%20Gestio&#769;n%20Fiscal%20AFGR%202308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ntrabog/Downloads/PVCGF-04-06%20Procesos%20presupuesto%20de%20ingresos%20y%20de%20gastos%20o%20costos%20y%20gastos%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ocuments/Matrices%20Auditoria%20Financiera%20de%20gestion%20y%20resultados/PVCGF-%2004-13%20Instrumento%20para%20la%20Calificacio&#769;n%20a%20la%20Gestio&#769;n%20Fiscal%20AFGR%2023082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USER/Documents/Formatos%20Auditoria%20Financiera/PVCGF-04-06%20Procesos%20presupuesto%20de%20ingresos%20y%20de%20gastos%20o%20costos%20y%20gas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ANALÍTICAS GASTO PÚBLICO"/>
      <sheetName val="MATERIALIDAD GASTO PÚBLICO"/>
      <sheetName val="CALIFICACION GASTO PUBLICO"/>
    </sheetNames>
    <sheetDataSet>
      <sheetData sheetId="0"/>
      <sheetData sheetId="1"/>
      <sheetData sheetId="2"/>
      <sheetData sheetId="3">
        <row r="65518">
          <cell r="A65518" t="str">
            <v>NO APLICA</v>
          </cell>
        </row>
        <row r="65519">
          <cell r="A65519" t="str">
            <v>ETAPA 1</v>
          </cell>
        </row>
        <row r="65520">
          <cell r="A65520" t="str">
            <v>ETAPA 2</v>
          </cell>
        </row>
        <row r="65521">
          <cell r="A65521" t="str">
            <v>ETAPA 3</v>
          </cell>
        </row>
        <row r="65522">
          <cell r="A65522" t="str">
            <v>ETAPA 1 Y 2</v>
          </cell>
        </row>
        <row r="65523">
          <cell r="A65523" t="str">
            <v>ETAPAS 2 Y 3</v>
          </cell>
        </row>
        <row r="65524">
          <cell r="A65524" t="str">
            <v>TODAS LAS ETAPAS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NECIMIENTO_PUBLICAS"/>
      <sheetName val="Riesgos general"/>
      <sheetName val="LISTA"/>
      <sheetName val="Riesgo muestra"/>
      <sheetName val="LISTAS"/>
      <sheetName val="2. RIESGOS DE AUDITORÍA"/>
      <sheetName val="DATOS ANÁLISIS"/>
      <sheetName val="Hoja1"/>
      <sheetName val="1. ANALÍTICA ESTADO SITUACIÓN F"/>
      <sheetName val="2. ANALÍTICA ESTADO DE RESULTAD"/>
      <sheetName val="3.MATERIALIDAD FINANCIERA"/>
      <sheetName val="4. MATERIALIDAD PRESUPUESTAL"/>
      <sheetName val="ANALÍTICAS GASTO PÚBLICO"/>
      <sheetName val="MATERIALIDAD GASTO PÚBLICO"/>
      <sheetName val="CALIFICACION GASTO PUBLICO"/>
      <sheetName val="6. PLANES Y PROYECTOS"/>
      <sheetName val="PT 09-AF MATERIALIDAD EF MCGR"/>
      <sheetName val="LISTA MATERIALIDAD CGR"/>
      <sheetName val="PT 10-AF A.HALLAZGOS OPINIÓN EF"/>
      <sheetName val="3. MATERIALIDAD FINANCIERA"/>
      <sheetName val="7. HALLAZGOS OPINIÓN_FIN"/>
      <sheetName val="8. DESEMPEÑO FINANCIERO"/>
      <sheetName val="Listas PPTO"/>
      <sheetName val="9. HALLAZGOS CONCEPTO_PRES"/>
      <sheetName val="GESTIÓN CONTRACTUAL_MIXTAS"/>
      <sheetName val="GESTIÓN CONTRACTUAL_PÚBLICAS"/>
      <sheetName val="10. GESTION FINANCIERA PUBLICAS"/>
      <sheetName val="Control"/>
      <sheetName val="Riesgos CB"/>
      <sheetName val="1. RIESGOS Y CONTROLES"/>
      <sheetName val="10. FENECIMIENTO"/>
      <sheetName val="FENECIMIENTO CUENTA"/>
      <sheetName val="11.Referencia - Marcas "/>
      <sheetName val="PLAN ESTRATÉGICO - MIXTAS"/>
      <sheetName val="GESTION FINANCIERA MIXTAS"/>
      <sheetName val="PVCGF- 04-13 Instrumento para 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C7" t="str">
            <v>1 - Fondo de Desarrollo Local de Usaquén</v>
          </cell>
        </row>
        <row r="124">
          <cell r="B124" t="str">
            <v>Activo</v>
          </cell>
        </row>
        <row r="125">
          <cell r="B125" t="str">
            <v>Pasivo</v>
          </cell>
        </row>
        <row r="126">
          <cell r="B126" t="str">
            <v>Patrimonio</v>
          </cell>
        </row>
        <row r="127">
          <cell r="B127" t="str">
            <v>Pasivo + Patrimonio</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9">
          <cell r="B49">
            <v>6</v>
          </cell>
          <cell r="E49">
            <v>45000000000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TICA PRESUPUESTO"/>
      <sheetName val="MATERIALIDAD PRESUPUESTO"/>
      <sheetName val="INDICADORES Y HALLAZGOS "/>
      <sheetName val="Instructivo"/>
      <sheetName val="LISTAS"/>
    </sheetNames>
    <sheetDataSet>
      <sheetData sheetId="0"/>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ANÁLISIS"/>
      <sheetName val="FENECIMIENTO_PUBLICAS"/>
      <sheetName val="Riesgos general"/>
      <sheetName val="LISTA"/>
      <sheetName val="Riesgo muestra"/>
      <sheetName val="LISTAS"/>
      <sheetName val="2. RIESGOS DE AUDITORÍA"/>
      <sheetName val="Hoja1"/>
      <sheetName val="1. ANALÍTICA ESTADO SITUACIÓN F"/>
      <sheetName val="2. ANALÍTICA ESTADO DE RESULTAD"/>
      <sheetName val="3.MATERIALIDAD FINANCIERA"/>
      <sheetName val="4. MATERIALIDAD PRESUPUESTAL"/>
      <sheetName val="ANALÍTICAS GASTO PÚBLICO"/>
      <sheetName val="MATERIALIDAD GASTO PÚBLICO"/>
      <sheetName val="CALIFICACION GASTO PUBLICO"/>
      <sheetName val="6. PLANES Y PROYECTOS"/>
      <sheetName val="PT 09-AF MATERIALIDAD EF MCGR"/>
      <sheetName val="LISTA MATERIALIDAD CGR"/>
      <sheetName val="PT 10-AF A.HALLAZGOS OPINIÓN EF"/>
      <sheetName val="3. MATERIALIDAD FINANCIERA"/>
      <sheetName val="7. HALLAZGOS OPINIÓN_FIN"/>
      <sheetName val="8. DESEMPEÑO FINANCIERO"/>
      <sheetName val="Listas PPTO"/>
      <sheetName val="9. HALLAZGOS CONCEPTO_PRES"/>
      <sheetName val="GESTIÓN CONTRACTUAL_MIXTAS"/>
      <sheetName val="GESTIÓN CONTRACTUAL_PÚBLICAS"/>
      <sheetName val="10. GESTION FINANCIERA PUBLICAS"/>
      <sheetName val="Control"/>
      <sheetName val="Riesgos CB"/>
      <sheetName val="1. RIESGOS Y CONTROLES"/>
      <sheetName val="10. FENECIMIENTO"/>
      <sheetName val="FENECIMIENTO CUENTA"/>
      <sheetName val="11.Referencia - Marcas "/>
      <sheetName val="PLAN ESTRATÉGICO - MIXTAS"/>
      <sheetName val="GESTION FINANCIERA MIXTAS"/>
      <sheetName val="PVCGF- 04-13 Instrumento para 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TICA PRESUPUESTO"/>
      <sheetName val="MATERIALIDAD PRESUPUESTO"/>
      <sheetName val="INDICADORES Y HALLAZGOS "/>
      <sheetName val="Instructivo"/>
      <sheetName val="LISTAS"/>
      <sheetName val="PVCGF-04-06 Procesos presupue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jaison juio" id="{89BF8F57-460E-431E-B958-195AF34D3D9A}" userId="2f28df2ba396f6cb" providerId="Windows Live"/>
  <person displayName="olga yolanda pinzon zapata" id="{942FD41F-4206-4D99-99BE-041C37F4D8F8}" userId="a92ea1d936ca3898"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0000000}" name="TablaSujetos215" displayName="TablaSujetos215" ref="R2:V96" totalsRowShown="0" headerRowDxfId="427" dataDxfId="426">
  <autoFilter ref="R2:V96" xr:uid="{00000000-0009-0000-0100-00000E000000}"/>
  <sortState xmlns:xlrd2="http://schemas.microsoft.com/office/spreadsheetml/2017/richdata2" ref="R3:U95">
    <sortCondition ref="R3:R95"/>
  </sortState>
  <tableColumns count="5">
    <tableColumn id="1" xr3:uid="{00000000-0010-0000-0000-000001000000}" name="Sujeto de Control" dataDxfId="425"/>
    <tableColumn id="2" xr3:uid="{00000000-0010-0000-0000-000002000000}" name="TIPO DE MATRIZ_x000a_(Identificación de la matriz a aplicar)" dataDxfId="424"/>
    <tableColumn id="3" xr3:uid="{00000000-0010-0000-0000-000003000000}" name="TIPO_ENTIDAD" dataDxfId="423"/>
    <tableColumn id="4" xr3:uid="{00000000-0010-0000-0000-000004000000}" name="Columna1" dataDxfId="422"/>
    <tableColumn id="5" xr3:uid="{00000000-0010-0000-0000-000005000000}" name="Columna2" dataDxfId="4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TablaProcesos516" displayName="TablaProcesos516" ref="W7:AE21" totalsRowShown="0">
  <tableColumns count="9">
    <tableColumn id="1" xr3:uid="{00000000-0010-0000-0100-000001000000}" name="PROCESO" dataDxfId="420"/>
    <tableColumn id="7" xr3:uid="{00000000-0010-0000-0100-000007000000}" name="PUBLICA con ing" dataDxfId="419" dataCellStyle="Porcentaje"/>
    <tableColumn id="8" xr3:uid="{00000000-0010-0000-0100-000008000000}" name="PUBLICA sin ing" dataDxfId="418" dataCellStyle="Porcentaje"/>
    <tableColumn id="2" xr3:uid="{00000000-0010-0000-0100-000002000000}" name="PUBLICA" dataDxfId="417" dataCellStyle="Porcentaje"/>
    <tableColumn id="6" xr3:uid="{00000000-0010-0000-0100-000006000000}" name="MIXTA&gt;50 sin ing" dataDxfId="416" dataCellStyle="Porcentaje"/>
    <tableColumn id="3" xr3:uid="{00000000-0010-0000-0100-000003000000}" name="MIXTA&gt;50" dataDxfId="415" dataCellStyle="Porcentaje"/>
    <tableColumn id="4" xr3:uid="{00000000-0010-0000-0100-000004000000}" name="MIXTA&lt;50" dataDxfId="414" dataCellStyle="Porcentaje"/>
    <tableColumn id="5" xr3:uid="{00000000-0010-0000-0100-000005000000}" name="CORPORACION" dataDxfId="413"/>
    <tableColumn id="9" xr3:uid="{00000000-0010-0000-0100-000009000000}" name="CONCEJO" dataDxfId="4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aMacroprocesos43817" displayName="TablaMacroprocesos43817" ref="W2:AE5" totalsRowShown="0" tableBorderDxfId="411">
  <tableColumns count="9">
    <tableColumn id="1" xr3:uid="{00000000-0010-0000-0200-000001000000}" name="MACROPROCESO" dataDxfId="410"/>
    <tableColumn id="2" xr3:uid="{00000000-0010-0000-0200-000002000000}" name="PUBLICA" dataDxfId="409" dataCellStyle="Porcentaje"/>
    <tableColumn id="9" xr3:uid="{00000000-0010-0000-0200-000009000000}" name="PUBLICA con ing" dataDxfId="408" dataCellStyle="Porcentaje"/>
    <tableColumn id="10" xr3:uid="{00000000-0010-0000-0200-00000A000000}" name="PUBLICA sin ing" dataDxfId="407" dataCellStyle="Porcentaje"/>
    <tableColumn id="3" xr3:uid="{00000000-0010-0000-0200-000003000000}" name="MIXTA&gt;50" dataDxfId="406" dataCellStyle="Porcentaje"/>
    <tableColumn id="8" xr3:uid="{00000000-0010-0000-0200-000008000000}" name="MIXTA&gt;50 sin ing" dataDxfId="405" dataCellStyle="Porcentaje"/>
    <tableColumn id="4" xr3:uid="{00000000-0010-0000-0200-000004000000}" name="MIXTA&lt;50" dataDxfId="404" dataCellStyle="Porcentaje"/>
    <tableColumn id="5" xr3:uid="{00000000-0010-0000-0200-000005000000}" name="CORPORACION" dataDxfId="403"/>
    <tableColumn id="6" xr3:uid="{00000000-0010-0000-0200-000006000000}" name="CONCEJO" dataDxfId="40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3000000}" name="ConceptoPresupuesto235" displayName="ConceptoPresupuesto235" ref="AV2:AW9" totalsRowShown="0" headerRowDxfId="401" dataDxfId="400">
  <autoFilter ref="AV2:AW9" xr:uid="{00000000-0009-0000-0100-000011000000}"/>
  <tableColumns count="2">
    <tableColumn id="1" xr3:uid="{00000000-0010-0000-0300-000001000000}" name="CONCEPTO" dataDxfId="399"/>
    <tableColumn id="2" xr3:uid="{00000000-0010-0000-0300-000002000000}" name="CALIFICACION" dataDxfId="398"/>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Hallazgos_anterior" displayName="Hallazgos_anterior" ref="I57:J62" totalsRowShown="0" headerRowDxfId="397" dataDxfId="396">
  <autoFilter ref="I57:J62" xr:uid="{00000000-0009-0000-0100-000001000000}"/>
  <tableColumns count="2">
    <tableColumn id="1" xr3:uid="{00000000-0010-0000-0400-000001000000}" name="Hallazgos vigencias anteriores?" dataDxfId="395"/>
    <tableColumn id="2" xr3:uid="{00000000-0010-0000-0400-000002000000}" name="VALOR" dataDxfId="39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oncepto_anterior" displayName="Concepto_anterior" ref="L57:M62" totalsRowShown="0" headerRowDxfId="393" dataDxfId="392">
  <autoFilter ref="L57:M62" xr:uid="{00000000-0009-0000-0100-000006000000}"/>
  <tableColumns count="2">
    <tableColumn id="1" xr3:uid="{00000000-0010-0000-0500-000001000000}" name="Conceptos Gasto vigencia anterior" dataDxfId="391"/>
    <tableColumn id="2" xr3:uid="{00000000-0010-0000-0500-000002000000}" name="VALOR" dataDxfId="39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Riesgo_residual" displayName="Riesgo_residual" ref="I65:J69" totalsRowShown="0" headerRowDxfId="389" dataDxfId="388">
  <autoFilter ref="I65:J69" xr:uid="{00000000-0009-0000-0100-000007000000}"/>
  <tableColumns count="2">
    <tableColumn id="1" xr3:uid="{00000000-0010-0000-0600-000001000000}" name="Riesgo Residual período auditado" dataDxfId="387"/>
    <tableColumn id="2" xr3:uid="{00000000-0010-0000-0600-000002000000}" name="VALOR" dataDxfId="38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Diseño_Control" displayName="Diseño_Control" ref="L65:M70" totalsRowShown="0" headerRowDxfId="385" dataDxfId="384">
  <autoFilter ref="L65:M70" xr:uid="{00000000-0009-0000-0100-000008000000}"/>
  <tableColumns count="2">
    <tableColumn id="1" xr3:uid="{00000000-0010-0000-0700-000001000000}" name="Calificación CFI - Gasto Público" dataDxfId="383"/>
    <tableColumn id="2" xr3:uid="{00000000-0010-0000-0700-000002000000}" name="VALOR" dataDxfId="38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Muestra" displayName="TablaMuestra" ref="I71:O74" totalsRowShown="0" headerRowDxfId="381" dataDxfId="380">
  <autoFilter ref="I71:O74" xr:uid="{00000000-0009-0000-0100-000009000000}"/>
  <tableColumns count="7">
    <tableColumn id="1" xr3:uid="{00000000-0010-0000-0800-000001000000}" name="Mínimo con Concepto Vig Anterior" dataDxfId="379"/>
    <tableColumn id="2" xr3:uid="{00000000-0010-0000-0800-000002000000}" name="Mínimo SIN Concepto Vig Anterior" dataDxfId="378"/>
    <tableColumn id="3" xr3:uid="{00000000-0010-0000-0800-000003000000}" name="Riesgo de Control" dataDxfId="377"/>
    <tableColumn id="5" xr3:uid="{00000000-0010-0000-0800-000005000000}" name="MATERIALIDAD" dataDxfId="376"/>
    <tableColumn id="4" xr3:uid="{00000000-0010-0000-0800-000004000000}" name="Muestra Mín" dataDxfId="375"/>
    <tableColumn id="6" xr3:uid="{00000000-0010-0000-0800-000006000000}" name="Materialidad Relativa a la Muestra" dataDxfId="374"/>
    <tableColumn id="7" xr3:uid="{00000000-0010-0000-0800-000007000000}" name="Parametro Minimo Concepto" dataDxfId="373">
      <calculatedColumnFormula>100%-TablaMuestra[[#This Row],[Materialidad Relativa a la Muestra]]</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TablaMaxCalifPos" displayName="TablaMaxCalifPos" ref="F101:I110" totalsRowShown="0" headerRowDxfId="372" dataDxfId="370" headerRowBorderDxfId="371" tableBorderDxfId="369" headerRowCellStyle="Normal 7">
  <autoFilter ref="F101:I110" xr:uid="{00000000-0009-0000-0100-000014000000}"/>
  <tableColumns count="4">
    <tableColumn id="1" xr3:uid="{00000000-0010-0000-0900-000001000000}" name="RESULTADO DEL EJERCICIO AUDITOR" dataDxfId="368" dataCellStyle="Normal 7"/>
    <tableColumn id="2" xr3:uid="{00000000-0010-0000-0900-000002000000}" name="BAJO" dataDxfId="367" dataCellStyle="Normal 7"/>
    <tableColumn id="3" xr3:uid="{00000000-0010-0000-0900-000003000000}" name="MEDIO" dataDxfId="366" dataCellStyle="Normal 7"/>
    <tableColumn id="4" xr3:uid="{00000000-0010-0000-0900-000004000000}" name="ALTO" dataDxfId="365" dataCellStyle="Normal 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TablaMoneda" displayName="TablaMoneda" ref="B92:B94" totalsRowShown="0" headerRowDxfId="364" dataDxfId="363" headerRowCellStyle="Normal 5" dataCellStyle="Normal 5">
  <autoFilter ref="B92:B94" xr:uid="{00000000-0009-0000-0100-000015000000}"/>
  <tableColumns count="1">
    <tableColumn id="1" xr3:uid="{00000000-0010-0000-0A00-000001000000}" name="TIPO DE MONEDA" dataDxfId="362" dataCellStyle="Normal 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B000000}" name="TablaConcepto" displayName="TablaConcepto" ref="F95:I98" totalsRowShown="0" headerRowDxfId="361" dataDxfId="360" headerRowCellStyle="Millares 4">
  <autoFilter ref="F95:I98" xr:uid="{00000000-0009-0000-0100-000016000000}"/>
  <tableColumns count="4">
    <tableColumn id="1" xr3:uid="{00000000-0010-0000-0B00-000001000000}" name="BAJO" dataDxfId="359"/>
    <tableColumn id="2" xr3:uid="{00000000-0010-0000-0B00-000002000000}" name="MEDIO" dataDxfId="358"/>
    <tableColumn id="3" xr3:uid="{00000000-0010-0000-0B00-000003000000}" name="ALTO" dataDxfId="357"/>
    <tableColumn id="4" xr3:uid="{00000000-0010-0000-0B00-000004000000}" name="Concepto" dataDxfId="356" dataCellStyle="Millares 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Dependencias" displayName="Dependencias" ref="C65379:E65414" totalsRowShown="0" headerRowDxfId="355" dataDxfId="353" headerRowBorderDxfId="354" tableBorderDxfId="352" totalsRowBorderDxfId="351">
  <autoFilter ref="C65379:E65414" xr:uid="{00000000-0009-0000-0100-000017000000}"/>
  <sortState xmlns:xlrd2="http://schemas.microsoft.com/office/spreadsheetml/2017/richdata2" ref="C65380:E65414">
    <sortCondition ref="E65381:E65416"/>
  </sortState>
  <tableColumns count="3">
    <tableColumn id="1" xr3:uid="{00000000-0010-0000-0C00-000001000000}" name="CÓDIGO" dataDxfId="350"/>
    <tableColumn id="2" xr3:uid="{00000000-0010-0000-0C00-000002000000}" name="DEPENDENCIA" dataDxfId="349"/>
    <tableColumn id="3" xr3:uid="{00000000-0010-0000-0C00-000003000000}" name="CONCATENADO" dataDxfId="348" dataCellStyle="Millares 4">
      <calculatedColumnFormula>CONCATENATE(Dependencias[[#This Row],[CÓDIGO]]," - ",Dependencias[[#This Row],[DEPENDENCIA]])</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abla11" displayName="Tabla11" ref="A65378:A65476" totalsRowShown="0" headerRowDxfId="347" dataDxfId="345" headerRowBorderDxfId="346" tableBorderDxfId="344" headerRowCellStyle="Normal_Hoja1" dataCellStyle="Normal_Hoja1">
  <autoFilter ref="A65378:A65476" xr:uid="{00000000-0009-0000-0100-000018000000}"/>
  <sortState xmlns:xlrd2="http://schemas.microsoft.com/office/spreadsheetml/2017/richdata2" ref="A65379:A65476">
    <sortCondition ref="A65381:A65479"/>
  </sortState>
  <tableColumns count="1">
    <tableColumn id="1" xr3:uid="{00000000-0010-0000-0D00-000001000000}" name="Sujetos de Control Fiscal" dataDxfId="343" dataCellStyle="Normal_Hoja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0" dT="2025-05-10T23:22:54.26" personId="{89BF8F57-460E-431E-B958-195AF34D3D9A}" id="{ED11AB80-FFC6-4BD0-ABD5-0EA2E5F8E68D}">
    <text xml:space="preserve">USER:
Favor digite el valor anual total del Plan Estratégico. </text>
  </threadedComment>
</ThreadedComments>
</file>

<file path=xl/threadedComments/threadedComment2.xml><?xml version="1.0" encoding="utf-8"?>
<ThreadedComments xmlns="http://schemas.microsoft.com/office/spreadsheetml/2018/threadedcomments" xmlns:x="http://schemas.openxmlformats.org/spreadsheetml/2006/main">
  <threadedComment ref="F28" dT="2024-11-15T13:23:35.48" personId="{942FD41F-4206-4D99-99BE-041C37F4D8F8}" id="{B83077C8-393B-4D90-9BB8-29A66010062B}">
    <text xml:space="preserve">Si no es posible cumplir con el tamaño mínimo de la muestra, dejar justificación en el Plan de Trabajo.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comments" Target="../comments10.xml"/><Relationship Id="rId3" Type="http://schemas.openxmlformats.org/officeDocument/2006/relationships/vmlDrawing" Target="../drawings/vmlDrawing10.vml"/><Relationship Id="rId7" Type="http://schemas.openxmlformats.org/officeDocument/2006/relationships/ctrlProp" Target="../ctrlProps/ctrlProp4.xml"/><Relationship Id="rId12" Type="http://schemas.openxmlformats.org/officeDocument/2006/relationships/table" Target="../tables/table9.xml"/><Relationship Id="rId2" Type="http://schemas.openxmlformats.org/officeDocument/2006/relationships/drawing" Target="../drawings/drawing15.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table" Target="../tables/table8.xml"/><Relationship Id="rId5" Type="http://schemas.openxmlformats.org/officeDocument/2006/relationships/ctrlProp" Target="../ctrlProps/ctrlProp2.xml"/><Relationship Id="rId10" Type="http://schemas.openxmlformats.org/officeDocument/2006/relationships/table" Target="../tables/table7.xml"/><Relationship Id="rId4" Type="http://schemas.openxmlformats.org/officeDocument/2006/relationships/ctrlProp" Target="../ctrlProps/ctrlProp1.xml"/><Relationship Id="rId9" Type="http://schemas.openxmlformats.org/officeDocument/2006/relationships/table" Target="../tables/table6.xml"/><Relationship Id="rId14" Type="http://schemas.microsoft.com/office/2017/10/relationships/threadedComment" Target="../threadedComments/threadedComment2.xml"/></Relationships>
</file>

<file path=xl/worksheets/_rels/sheet18.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vmlDrawing" Target="../drawings/vmlDrawing11.vml"/><Relationship Id="rId7" Type="http://schemas.openxmlformats.org/officeDocument/2006/relationships/table" Target="../tables/table13.xml"/><Relationship Id="rId2" Type="http://schemas.openxmlformats.org/officeDocument/2006/relationships/drawing" Target="../drawings/drawing16.xml"/><Relationship Id="rId1" Type="http://schemas.openxmlformats.org/officeDocument/2006/relationships/printerSettings" Target="../printerSettings/printerSettings10.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9"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dimension ref="A1:AH208"/>
  <sheetViews>
    <sheetView topLeftCell="N64" zoomScale="70" zoomScaleNormal="70" workbookViewId="0">
      <selection activeCell="R127" sqref="R127"/>
    </sheetView>
  </sheetViews>
  <sheetFormatPr baseColWidth="10" defaultColWidth="11.42578125" defaultRowHeight="15" x14ac:dyDescent="0.25"/>
  <cols>
    <col min="2" max="2" width="11.42578125" customWidth="1"/>
    <col min="3" max="3" width="43.7109375" customWidth="1"/>
    <col min="4" max="4" width="66.140625" customWidth="1"/>
    <col min="6" max="6" width="81.7109375" customWidth="1"/>
    <col min="7" max="7" width="27.28515625" customWidth="1"/>
    <col min="8" max="8" width="51.28515625" customWidth="1"/>
    <col min="9" max="9" width="17.140625" customWidth="1"/>
    <col min="12" max="12" width="22.7109375" customWidth="1"/>
    <col min="13" max="13" width="16.7109375" customWidth="1"/>
    <col min="14" max="14" width="14.28515625" customWidth="1"/>
    <col min="15" max="15" width="11.42578125" customWidth="1"/>
    <col min="16" max="17" width="31.7109375" customWidth="1"/>
    <col min="18" max="18" width="63.7109375" customWidth="1"/>
    <col min="19" max="19" width="20.5703125" customWidth="1"/>
    <col min="20" max="20" width="20.42578125" customWidth="1"/>
    <col min="21" max="21" width="17.42578125" customWidth="1"/>
    <col min="22" max="22" width="7.7109375" customWidth="1"/>
    <col min="23" max="23" width="26.42578125" customWidth="1"/>
    <col min="24" max="24" width="24.5703125" customWidth="1"/>
    <col min="25" max="25" width="23.42578125" customWidth="1"/>
    <col min="26" max="26" width="20.5703125" customWidth="1"/>
    <col min="27" max="27" width="21.85546875" customWidth="1"/>
    <col min="28" max="28" width="19.28515625" customWidth="1"/>
    <col min="29" max="29" width="20" customWidth="1"/>
    <col min="30" max="30" width="23.28515625" customWidth="1"/>
    <col min="31" max="31" width="15.140625" customWidth="1"/>
    <col min="34" max="34" width="25.140625" customWidth="1"/>
  </cols>
  <sheetData>
    <row r="1" spans="1:34" ht="16.5" customHeight="1" x14ac:dyDescent="0.25">
      <c r="A1" s="30"/>
      <c r="B1" s="30"/>
      <c r="C1" s="30"/>
      <c r="D1" s="30"/>
      <c r="E1" s="30"/>
      <c r="F1" s="30"/>
      <c r="G1" s="30"/>
      <c r="H1" s="30"/>
      <c r="I1" s="30"/>
      <c r="J1" s="30"/>
      <c r="K1" s="30"/>
      <c r="L1" s="30"/>
      <c r="M1" s="30"/>
      <c r="N1" s="30"/>
      <c r="O1" s="30"/>
      <c r="P1" s="30"/>
      <c r="Q1" s="30"/>
      <c r="R1" s="30"/>
      <c r="W1">
        <v>1</v>
      </c>
      <c r="X1">
        <v>2</v>
      </c>
      <c r="Y1">
        <v>3</v>
      </c>
      <c r="Z1">
        <v>4</v>
      </c>
      <c r="AA1">
        <v>5</v>
      </c>
      <c r="AB1">
        <v>6</v>
      </c>
      <c r="AC1">
        <v>7</v>
      </c>
      <c r="AD1">
        <v>8</v>
      </c>
      <c r="AE1">
        <v>9</v>
      </c>
    </row>
    <row r="2" spans="1:34" ht="16.5" customHeight="1" x14ac:dyDescent="0.25">
      <c r="A2" s="30"/>
      <c r="B2" s="30" t="s">
        <v>301</v>
      </c>
      <c r="C2" s="30" t="s">
        <v>302</v>
      </c>
      <c r="D2" s="30" t="s">
        <v>303</v>
      </c>
      <c r="E2" s="30"/>
      <c r="F2" s="30" t="s">
        <v>467</v>
      </c>
      <c r="G2" s="30" t="s">
        <v>468</v>
      </c>
      <c r="H2" s="30" t="s">
        <v>302</v>
      </c>
      <c r="I2" s="30" t="s">
        <v>469</v>
      </c>
      <c r="K2" s="251"/>
      <c r="L2" s="1702" t="s">
        <v>199</v>
      </c>
      <c r="M2" s="1702" t="s">
        <v>470</v>
      </c>
      <c r="N2" s="1702"/>
      <c r="O2" s="30"/>
      <c r="P2" s="252" t="s">
        <v>471</v>
      </c>
      <c r="Q2" s="253"/>
      <c r="R2" s="254" t="s">
        <v>472</v>
      </c>
      <c r="S2" s="254" t="s">
        <v>473</v>
      </c>
      <c r="T2" s="254" t="s">
        <v>474</v>
      </c>
      <c r="U2" s="254" t="s">
        <v>475</v>
      </c>
      <c r="V2" s="254" t="s">
        <v>476</v>
      </c>
      <c r="W2" s="255" t="s">
        <v>477</v>
      </c>
      <c r="X2" s="256" t="s">
        <v>478</v>
      </c>
      <c r="Y2" s="254" t="s">
        <v>490</v>
      </c>
      <c r="Z2" s="254" t="s">
        <v>514</v>
      </c>
      <c r="AA2" s="256" t="s">
        <v>479</v>
      </c>
      <c r="AB2" s="256" t="s">
        <v>628</v>
      </c>
      <c r="AC2" s="256" t="s">
        <v>480</v>
      </c>
      <c r="AD2" s="257" t="s">
        <v>481</v>
      </c>
      <c r="AE2" t="s">
        <v>506</v>
      </c>
    </row>
    <row r="3" spans="1:34" ht="16.5" customHeight="1" x14ac:dyDescent="0.25">
      <c r="A3" s="30"/>
      <c r="B3" s="30">
        <v>100000</v>
      </c>
      <c r="C3" s="30" t="s">
        <v>305</v>
      </c>
      <c r="D3" s="30" t="s">
        <v>482</v>
      </c>
      <c r="E3" s="30"/>
      <c r="F3" s="30" t="s">
        <v>483</v>
      </c>
      <c r="G3" s="30" t="s">
        <v>484</v>
      </c>
      <c r="H3" s="30" t="s">
        <v>485</v>
      </c>
      <c r="I3" s="30" t="s">
        <v>486</v>
      </c>
      <c r="K3" s="251"/>
      <c r="L3" s="1702"/>
      <c r="M3" s="258" t="s">
        <v>487</v>
      </c>
      <c r="N3" s="258" t="s">
        <v>488</v>
      </c>
      <c r="P3" s="259" t="s">
        <v>469</v>
      </c>
      <c r="Q3" s="260" t="s">
        <v>492</v>
      </c>
      <c r="R3" s="30" t="s">
        <v>483</v>
      </c>
      <c r="S3" s="30" t="s">
        <v>489</v>
      </c>
      <c r="T3" s="261" t="s">
        <v>490</v>
      </c>
      <c r="U3" s="30" t="s">
        <v>491</v>
      </c>
      <c r="V3" s="30" t="s">
        <v>492</v>
      </c>
      <c r="W3" s="255" t="s">
        <v>493</v>
      </c>
      <c r="X3" s="262">
        <v>0.35</v>
      </c>
      <c r="Y3" s="262">
        <v>0.35</v>
      </c>
      <c r="Z3" s="262">
        <v>0.35</v>
      </c>
      <c r="AA3" s="262">
        <v>0.45</v>
      </c>
      <c r="AB3" s="262">
        <v>0.45</v>
      </c>
      <c r="AC3" s="263">
        <v>0.6</v>
      </c>
      <c r="AD3" s="263">
        <v>0.6</v>
      </c>
      <c r="AE3" s="1572">
        <v>0.55000000000000004</v>
      </c>
    </row>
    <row r="4" spans="1:34" ht="16.5" customHeight="1" x14ac:dyDescent="0.25">
      <c r="A4" s="30"/>
      <c r="B4" s="30">
        <v>110000</v>
      </c>
      <c r="C4" s="30" t="s">
        <v>307</v>
      </c>
      <c r="D4" s="30" t="s">
        <v>494</v>
      </c>
      <c r="E4" s="30"/>
      <c r="F4" s="30" t="s">
        <v>495</v>
      </c>
      <c r="G4" s="30" t="s">
        <v>484</v>
      </c>
      <c r="H4" s="30" t="s">
        <v>496</v>
      </c>
      <c r="I4" s="30" t="s">
        <v>486</v>
      </c>
      <c r="K4" s="251"/>
      <c r="L4" s="264" t="s">
        <v>497</v>
      </c>
      <c r="M4" s="265">
        <v>0.75</v>
      </c>
      <c r="N4" s="265">
        <v>1</v>
      </c>
      <c r="O4" s="30"/>
      <c r="P4" s="259" t="s">
        <v>498</v>
      </c>
      <c r="Q4" s="266" t="s">
        <v>492</v>
      </c>
      <c r="R4" s="30" t="s">
        <v>495</v>
      </c>
      <c r="S4" s="30" t="s">
        <v>489</v>
      </c>
      <c r="T4" s="261" t="s">
        <v>490</v>
      </c>
      <c r="U4" s="30" t="s">
        <v>491</v>
      </c>
      <c r="V4" s="30"/>
      <c r="W4" s="255" t="s">
        <v>499</v>
      </c>
      <c r="X4" s="262">
        <v>0.25</v>
      </c>
      <c r="Y4" s="262">
        <v>0.25</v>
      </c>
      <c r="Z4" s="262">
        <v>0.25</v>
      </c>
      <c r="AA4" s="262">
        <v>0.15</v>
      </c>
      <c r="AB4" s="262">
        <v>0.15</v>
      </c>
      <c r="AC4" s="262" t="s">
        <v>1393</v>
      </c>
      <c r="AD4" s="262" t="s">
        <v>1393</v>
      </c>
      <c r="AE4" s="1572">
        <v>0.45</v>
      </c>
    </row>
    <row r="5" spans="1:34" ht="16.5" customHeight="1" x14ac:dyDescent="0.25">
      <c r="A5" s="30"/>
      <c r="B5" s="30">
        <v>12000</v>
      </c>
      <c r="C5" s="30" t="s">
        <v>309</v>
      </c>
      <c r="D5" s="30" t="s">
        <v>500</v>
      </c>
      <c r="E5" s="30"/>
      <c r="F5" s="30" t="s">
        <v>501</v>
      </c>
      <c r="G5" s="30" t="s">
        <v>502</v>
      </c>
      <c r="H5" s="30" t="s">
        <v>494</v>
      </c>
      <c r="I5" s="267" t="s">
        <v>503</v>
      </c>
      <c r="J5" s="268"/>
      <c r="K5" s="251"/>
      <c r="L5" s="269" t="s">
        <v>288</v>
      </c>
      <c r="M5" s="265">
        <v>0.65</v>
      </c>
      <c r="N5" s="265">
        <v>0.75</v>
      </c>
      <c r="O5" s="30"/>
      <c r="P5" s="259" t="s">
        <v>504</v>
      </c>
      <c r="Q5" s="266" t="s">
        <v>492</v>
      </c>
      <c r="R5" s="30" t="s">
        <v>501</v>
      </c>
      <c r="S5" s="30" t="s">
        <v>505</v>
      </c>
      <c r="T5" s="270" t="s">
        <v>506</v>
      </c>
      <c r="U5" s="30" t="s">
        <v>507</v>
      </c>
      <c r="V5" s="30"/>
      <c r="W5" s="271" t="s">
        <v>508</v>
      </c>
      <c r="X5" s="272">
        <v>0.4</v>
      </c>
      <c r="Y5" s="272">
        <v>0.4</v>
      </c>
      <c r="Z5" s="272">
        <v>0.4</v>
      </c>
      <c r="AA5" s="272">
        <v>0.4</v>
      </c>
      <c r="AB5" s="272">
        <v>0.4</v>
      </c>
      <c r="AC5" s="272">
        <v>0.4</v>
      </c>
      <c r="AD5" s="272">
        <v>0.4</v>
      </c>
      <c r="AE5" s="262" t="s">
        <v>1393</v>
      </c>
    </row>
    <row r="6" spans="1:34" ht="16.5" customHeight="1" x14ac:dyDescent="0.25">
      <c r="A6" s="30"/>
      <c r="B6" s="30">
        <v>120000</v>
      </c>
      <c r="C6" s="30" t="s">
        <v>311</v>
      </c>
      <c r="D6" s="30" t="s">
        <v>509</v>
      </c>
      <c r="E6" s="30"/>
      <c r="F6" s="30" t="s">
        <v>510</v>
      </c>
      <c r="G6" s="30" t="s">
        <v>511</v>
      </c>
      <c r="H6" s="30" t="s">
        <v>494</v>
      </c>
      <c r="I6" s="267" t="s">
        <v>503</v>
      </c>
      <c r="J6" s="268"/>
      <c r="K6" s="251"/>
      <c r="L6" s="264" t="s">
        <v>512</v>
      </c>
      <c r="M6" s="265">
        <v>0</v>
      </c>
      <c r="N6" s="265">
        <v>0.65</v>
      </c>
      <c r="O6" s="30"/>
      <c r="P6" s="259" t="s">
        <v>513</v>
      </c>
      <c r="Q6" s="260" t="s">
        <v>492</v>
      </c>
      <c r="R6" s="30" t="s">
        <v>510</v>
      </c>
      <c r="S6" s="30" t="s">
        <v>489</v>
      </c>
      <c r="T6" s="270" t="s">
        <v>514</v>
      </c>
      <c r="U6" s="30" t="s">
        <v>507</v>
      </c>
      <c r="V6" s="30"/>
      <c r="W6" s="271"/>
      <c r="X6" s="273"/>
      <c r="Y6" s="273"/>
      <c r="Z6" s="274"/>
      <c r="AA6" s="274"/>
      <c r="AB6" s="274"/>
      <c r="AC6" s="274"/>
      <c r="AD6" s="274"/>
    </row>
    <row r="7" spans="1:34" ht="16.5" customHeight="1" x14ac:dyDescent="0.25">
      <c r="A7" s="30"/>
      <c r="B7" s="30">
        <v>12101</v>
      </c>
      <c r="C7" s="30" t="s">
        <v>313</v>
      </c>
      <c r="D7" s="30" t="s">
        <v>485</v>
      </c>
      <c r="E7" s="30"/>
      <c r="F7" s="30" t="s">
        <v>515</v>
      </c>
      <c r="G7" s="30" t="s">
        <v>511</v>
      </c>
      <c r="H7" s="30" t="s">
        <v>494</v>
      </c>
      <c r="I7" s="267" t="s">
        <v>503</v>
      </c>
      <c r="J7" s="268"/>
      <c r="K7" s="251"/>
      <c r="L7" s="264" t="s">
        <v>516</v>
      </c>
      <c r="M7" s="1703" t="s">
        <v>517</v>
      </c>
      <c r="N7" s="1703"/>
      <c r="O7" s="30"/>
      <c r="P7" s="275" t="s">
        <v>518</v>
      </c>
      <c r="Q7" s="30" t="s">
        <v>492</v>
      </c>
      <c r="R7" s="30" t="s">
        <v>515</v>
      </c>
      <c r="S7" s="30" t="s">
        <v>489</v>
      </c>
      <c r="T7" s="270" t="s">
        <v>514</v>
      </c>
      <c r="U7" s="30" t="s">
        <v>507</v>
      </c>
      <c r="V7" s="30"/>
      <c r="W7" s="276" t="s">
        <v>519</v>
      </c>
      <c r="X7" s="254" t="s">
        <v>490</v>
      </c>
      <c r="Y7" s="254" t="s">
        <v>514</v>
      </c>
      <c r="Z7" s="254" t="s">
        <v>478</v>
      </c>
      <c r="AA7" s="254" t="s">
        <v>628</v>
      </c>
      <c r="AB7" s="254" t="s">
        <v>479</v>
      </c>
      <c r="AC7" s="254" t="s">
        <v>480</v>
      </c>
      <c r="AD7" t="s">
        <v>481</v>
      </c>
      <c r="AE7" t="s">
        <v>506</v>
      </c>
      <c r="AG7" s="277" t="s">
        <v>520</v>
      </c>
      <c r="AH7" s="278" t="s">
        <v>521</v>
      </c>
    </row>
    <row r="8" spans="1:34" ht="16.5" customHeight="1" x14ac:dyDescent="0.25">
      <c r="A8" s="30"/>
      <c r="B8" s="30">
        <v>12102</v>
      </c>
      <c r="C8" s="30" t="s">
        <v>315</v>
      </c>
      <c r="D8" s="30" t="s">
        <v>522</v>
      </c>
      <c r="E8" s="30"/>
      <c r="F8" s="30" t="s">
        <v>523</v>
      </c>
      <c r="G8" s="30" t="s">
        <v>511</v>
      </c>
      <c r="H8" s="30" t="s">
        <v>494</v>
      </c>
      <c r="I8" s="30" t="s">
        <v>486</v>
      </c>
      <c r="J8" s="268"/>
      <c r="K8" s="251"/>
      <c r="L8" s="268"/>
      <c r="M8" s="268"/>
      <c r="N8" s="268"/>
      <c r="O8" s="30"/>
      <c r="P8" s="275" t="s">
        <v>524</v>
      </c>
      <c r="Q8" s="30" t="s">
        <v>492</v>
      </c>
      <c r="R8" s="30" t="s">
        <v>523</v>
      </c>
      <c r="S8" s="30" t="s">
        <v>489</v>
      </c>
      <c r="T8" s="270" t="s">
        <v>514</v>
      </c>
      <c r="U8" s="30" t="s">
        <v>507</v>
      </c>
      <c r="V8" s="30"/>
      <c r="W8" s="254" t="s">
        <v>525</v>
      </c>
      <c r="X8" s="263">
        <v>1</v>
      </c>
      <c r="Y8" s="263">
        <v>1</v>
      </c>
      <c r="Z8" s="263">
        <v>0.6</v>
      </c>
      <c r="AA8" s="263">
        <v>0.4</v>
      </c>
      <c r="AB8" s="263">
        <v>0.4</v>
      </c>
      <c r="AC8" s="263">
        <v>0.4</v>
      </c>
      <c r="AD8" s="263">
        <v>1</v>
      </c>
      <c r="AE8" s="263">
        <v>1</v>
      </c>
      <c r="AF8" s="263"/>
      <c r="AG8" t="s">
        <v>526</v>
      </c>
      <c r="AH8" t="s">
        <v>287</v>
      </c>
    </row>
    <row r="9" spans="1:34" ht="16.5" customHeight="1" x14ac:dyDescent="0.25">
      <c r="A9" s="30"/>
      <c r="B9" s="30">
        <v>12103</v>
      </c>
      <c r="C9" s="30" t="s">
        <v>317</v>
      </c>
      <c r="D9" s="30" t="s">
        <v>527</v>
      </c>
      <c r="E9" s="30"/>
      <c r="F9" s="30" t="s">
        <v>528</v>
      </c>
      <c r="G9" s="30" t="s">
        <v>484</v>
      </c>
      <c r="H9" s="30" t="s">
        <v>529</v>
      </c>
      <c r="I9" s="30" t="s">
        <v>486</v>
      </c>
      <c r="J9" s="268"/>
      <c r="K9" s="251"/>
      <c r="L9" s="268"/>
      <c r="M9" s="268"/>
      <c r="N9" s="268"/>
      <c r="O9" s="30"/>
      <c r="P9" s="30"/>
      <c r="Q9" s="30" t="s">
        <v>492</v>
      </c>
      <c r="R9" s="30" t="s">
        <v>528</v>
      </c>
      <c r="S9" s="30" t="s">
        <v>489</v>
      </c>
      <c r="T9" s="261" t="s">
        <v>490</v>
      </c>
      <c r="U9" s="30" t="s">
        <v>491</v>
      </c>
      <c r="V9" s="30"/>
      <c r="W9" s="254" t="s">
        <v>1709</v>
      </c>
      <c r="X9" s="263">
        <v>1</v>
      </c>
      <c r="Y9" s="263">
        <v>1</v>
      </c>
      <c r="Z9" s="1360">
        <f>+FENECIMIENTO!$W$12</f>
        <v>0.3</v>
      </c>
      <c r="AA9" s="263">
        <v>0.4</v>
      </c>
      <c r="AB9" s="263">
        <v>0.4</v>
      </c>
      <c r="AC9" s="263">
        <v>0.4</v>
      </c>
      <c r="AD9" s="263">
        <v>1</v>
      </c>
      <c r="AE9" s="263">
        <v>1</v>
      </c>
      <c r="AF9" s="262"/>
      <c r="AG9" t="s">
        <v>531</v>
      </c>
      <c r="AH9" t="s">
        <v>289</v>
      </c>
    </row>
    <row r="10" spans="1:34" ht="16.5" customHeight="1" x14ac:dyDescent="0.25">
      <c r="A10" s="30"/>
      <c r="B10" s="30">
        <v>12104</v>
      </c>
      <c r="C10" s="30" t="s">
        <v>319</v>
      </c>
      <c r="D10" s="30" t="s">
        <v>532</v>
      </c>
      <c r="E10" s="30"/>
      <c r="F10" s="30" t="s">
        <v>533</v>
      </c>
      <c r="G10" s="30" t="s">
        <v>511</v>
      </c>
      <c r="H10" s="30" t="s">
        <v>494</v>
      </c>
      <c r="I10" s="267" t="s">
        <v>503</v>
      </c>
      <c r="J10" s="268"/>
      <c r="K10" s="251"/>
      <c r="L10" s="268"/>
      <c r="M10" s="268"/>
      <c r="N10" s="268"/>
      <c r="O10" s="30"/>
      <c r="P10" s="30"/>
      <c r="Q10" s="30" t="s">
        <v>492</v>
      </c>
      <c r="R10" s="30" t="s">
        <v>533</v>
      </c>
      <c r="S10" s="30" t="s">
        <v>489</v>
      </c>
      <c r="T10" s="270" t="s">
        <v>514</v>
      </c>
      <c r="U10" s="30" t="s">
        <v>507</v>
      </c>
      <c r="V10" s="30"/>
      <c r="W10" s="254" t="s">
        <v>1704</v>
      </c>
      <c r="X10" s="263">
        <v>1</v>
      </c>
      <c r="Y10" s="263">
        <v>1</v>
      </c>
      <c r="Z10" s="1360">
        <f>+FENECIMIENTO!$W$12</f>
        <v>0.3</v>
      </c>
      <c r="AA10" s="263">
        <v>0.4</v>
      </c>
      <c r="AB10" s="263">
        <v>0.4</v>
      </c>
      <c r="AC10" s="263">
        <v>0.4</v>
      </c>
      <c r="AD10" s="263">
        <v>1</v>
      </c>
      <c r="AE10" s="263">
        <v>1</v>
      </c>
      <c r="AF10" s="262"/>
      <c r="AG10" t="s">
        <v>535</v>
      </c>
      <c r="AH10" t="s">
        <v>286</v>
      </c>
    </row>
    <row r="11" spans="1:34" ht="16.5" customHeight="1" x14ac:dyDescent="0.25">
      <c r="A11" s="30"/>
      <c r="B11" s="30">
        <v>12105</v>
      </c>
      <c r="C11" s="30" t="s">
        <v>321</v>
      </c>
      <c r="D11" s="30" t="s">
        <v>536</v>
      </c>
      <c r="E11" s="30"/>
      <c r="F11" s="30" t="s">
        <v>537</v>
      </c>
      <c r="G11" s="30" t="s">
        <v>511</v>
      </c>
      <c r="H11" s="30" t="s">
        <v>538</v>
      </c>
      <c r="I11" s="30" t="s">
        <v>486</v>
      </c>
      <c r="J11" s="268"/>
      <c r="K11" s="251"/>
      <c r="L11" s="268"/>
      <c r="M11" s="268"/>
      <c r="N11" s="268"/>
      <c r="O11" s="30"/>
      <c r="P11" s="30"/>
      <c r="Q11" s="279" t="s">
        <v>492</v>
      </c>
      <c r="R11" s="30" t="s">
        <v>537</v>
      </c>
      <c r="S11" s="30" t="s">
        <v>539</v>
      </c>
      <c r="T11" s="270" t="s">
        <v>478</v>
      </c>
      <c r="U11" s="30" t="s">
        <v>491</v>
      </c>
      <c r="V11" s="30"/>
      <c r="W11" s="254" t="s">
        <v>1680</v>
      </c>
      <c r="X11" s="263">
        <v>1</v>
      </c>
      <c r="Y11" s="263">
        <v>1</v>
      </c>
      <c r="Z11" s="1360">
        <f>+FENECIMIENTO!$W$13</f>
        <v>0.3</v>
      </c>
      <c r="AA11" s="263">
        <v>0.4</v>
      </c>
      <c r="AB11" s="263">
        <v>0.4</v>
      </c>
      <c r="AC11" s="263">
        <v>0.4</v>
      </c>
      <c r="AD11" s="263">
        <v>1</v>
      </c>
      <c r="AE11" s="263">
        <v>1</v>
      </c>
      <c r="AF11" s="262"/>
      <c r="AG11" t="s">
        <v>541</v>
      </c>
    </row>
    <row r="12" spans="1:34" ht="16.5" customHeight="1" x14ac:dyDescent="0.25">
      <c r="A12" s="30"/>
      <c r="B12" s="30">
        <v>12106</v>
      </c>
      <c r="C12" s="30" t="s">
        <v>323</v>
      </c>
      <c r="D12" s="30" t="s">
        <v>542</v>
      </c>
      <c r="E12" s="30"/>
      <c r="F12" s="30" t="s">
        <v>543</v>
      </c>
      <c r="G12" s="30" t="s">
        <v>511</v>
      </c>
      <c r="H12" s="30" t="s">
        <v>544</v>
      </c>
      <c r="I12" s="267" t="s">
        <v>503</v>
      </c>
      <c r="J12" s="268"/>
      <c r="K12" s="251"/>
      <c r="L12" s="268"/>
      <c r="M12" s="268"/>
      <c r="N12" s="268"/>
      <c r="O12" s="30"/>
      <c r="P12" s="30"/>
      <c r="Q12" s="30" t="s">
        <v>492</v>
      </c>
      <c r="R12" s="30" t="s">
        <v>543</v>
      </c>
      <c r="S12" s="30" t="s">
        <v>489</v>
      </c>
      <c r="T12" s="270" t="s">
        <v>514</v>
      </c>
      <c r="U12" s="30" t="s">
        <v>507</v>
      </c>
      <c r="V12" s="30"/>
      <c r="W12" s="254" t="s">
        <v>1702</v>
      </c>
      <c r="X12" s="263">
        <v>1</v>
      </c>
      <c r="Y12" s="263">
        <v>1</v>
      </c>
      <c r="Z12" s="1360">
        <f>+FENECIMIENTO!$W$13</f>
        <v>0.3</v>
      </c>
      <c r="AA12" s="263">
        <v>0.4</v>
      </c>
      <c r="AB12" s="263">
        <v>0.4</v>
      </c>
      <c r="AC12" s="263">
        <v>0.4</v>
      </c>
      <c r="AD12" s="263">
        <v>1</v>
      </c>
      <c r="AE12" s="263">
        <v>1</v>
      </c>
      <c r="AF12" s="280"/>
      <c r="AG12" t="s">
        <v>459</v>
      </c>
    </row>
    <row r="13" spans="1:34" ht="16.5" customHeight="1" x14ac:dyDescent="0.25">
      <c r="A13" s="30"/>
      <c r="B13" s="30">
        <v>12107</v>
      </c>
      <c r="C13" s="30" t="s">
        <v>325</v>
      </c>
      <c r="D13" s="30" t="s">
        <v>545</v>
      </c>
      <c r="E13" s="30"/>
      <c r="F13" s="30" t="s">
        <v>546</v>
      </c>
      <c r="G13" s="30" t="s">
        <v>511</v>
      </c>
      <c r="H13" s="30" t="s">
        <v>547</v>
      </c>
      <c r="I13" s="267" t="s">
        <v>503</v>
      </c>
      <c r="J13" s="268"/>
      <c r="K13" s="251"/>
      <c r="L13" s="268"/>
      <c r="M13" s="268"/>
      <c r="N13" s="268"/>
      <c r="O13" s="30"/>
      <c r="P13" s="30"/>
      <c r="Q13" s="30" t="s">
        <v>492</v>
      </c>
      <c r="R13" s="30" t="s">
        <v>546</v>
      </c>
      <c r="S13" s="30" t="s">
        <v>489</v>
      </c>
      <c r="T13" s="270" t="s">
        <v>514</v>
      </c>
      <c r="U13" s="30" t="s">
        <v>507</v>
      </c>
      <c r="V13" s="30"/>
      <c r="W13" s="254" t="s">
        <v>530</v>
      </c>
      <c r="X13" s="262" t="s">
        <v>1393</v>
      </c>
      <c r="Y13" s="262" t="s">
        <v>1393</v>
      </c>
      <c r="Z13" s="262">
        <v>0.4</v>
      </c>
      <c r="AA13" s="262">
        <v>0.6</v>
      </c>
      <c r="AB13" s="262">
        <v>0.6</v>
      </c>
      <c r="AC13" s="262">
        <v>0.6</v>
      </c>
      <c r="AD13" s="262" t="s">
        <v>1393</v>
      </c>
      <c r="AE13" s="262" t="s">
        <v>1393</v>
      </c>
      <c r="AF13" s="280"/>
    </row>
    <row r="14" spans="1:34" ht="16.5" customHeight="1" x14ac:dyDescent="0.25">
      <c r="A14" s="30"/>
      <c r="B14" s="30">
        <v>12108</v>
      </c>
      <c r="C14" s="30" t="s">
        <v>327</v>
      </c>
      <c r="D14" s="30" t="s">
        <v>548</v>
      </c>
      <c r="E14" s="30"/>
      <c r="F14" s="281" t="s">
        <v>549</v>
      </c>
      <c r="G14" s="30" t="s">
        <v>511</v>
      </c>
      <c r="H14" s="30" t="s">
        <v>482</v>
      </c>
      <c r="I14" s="267" t="s">
        <v>503</v>
      </c>
      <c r="J14" s="268"/>
      <c r="K14" s="251"/>
      <c r="L14" s="268"/>
      <c r="M14" s="268"/>
      <c r="N14" s="268"/>
      <c r="O14" s="30"/>
      <c r="P14" s="30"/>
      <c r="Q14" s="30" t="s">
        <v>492</v>
      </c>
      <c r="R14" s="282" t="s">
        <v>549</v>
      </c>
      <c r="S14" s="275" t="s">
        <v>489</v>
      </c>
      <c r="T14" s="261" t="s">
        <v>490</v>
      </c>
      <c r="U14" s="30" t="s">
        <v>491</v>
      </c>
      <c r="V14" s="30"/>
      <c r="W14" s="254" t="s">
        <v>1707</v>
      </c>
      <c r="X14" s="262" t="s">
        <v>1393</v>
      </c>
      <c r="Y14" s="262" t="s">
        <v>1393</v>
      </c>
      <c r="Z14" s="262">
        <v>0.4</v>
      </c>
      <c r="AA14" s="262">
        <v>0.6</v>
      </c>
      <c r="AB14" s="262">
        <v>0.6</v>
      </c>
      <c r="AC14" s="262">
        <v>0.6</v>
      </c>
      <c r="AD14" s="262" t="s">
        <v>1393</v>
      </c>
      <c r="AE14" s="262" t="s">
        <v>1393</v>
      </c>
      <c r="AF14" s="280"/>
    </row>
    <row r="15" spans="1:34" ht="16.5" customHeight="1" x14ac:dyDescent="0.25">
      <c r="A15" s="30"/>
      <c r="B15" s="30">
        <v>12109</v>
      </c>
      <c r="C15" s="30" t="s">
        <v>329</v>
      </c>
      <c r="D15" s="30" t="s">
        <v>550</v>
      </c>
      <c r="E15" s="30"/>
      <c r="F15" s="30" t="s">
        <v>551</v>
      </c>
      <c r="G15" s="30" t="s">
        <v>511</v>
      </c>
      <c r="H15" s="30" t="s">
        <v>552</v>
      </c>
      <c r="I15" s="267" t="s">
        <v>503</v>
      </c>
      <c r="J15" s="30"/>
      <c r="K15" s="30"/>
      <c r="L15" s="30"/>
      <c r="M15" s="30"/>
      <c r="N15" s="30"/>
      <c r="O15" s="30"/>
      <c r="P15" s="30"/>
      <c r="Q15" s="30" t="s">
        <v>492</v>
      </c>
      <c r="R15" s="30" t="s">
        <v>551</v>
      </c>
      <c r="S15" s="30" t="s">
        <v>489</v>
      </c>
      <c r="T15" s="270" t="s">
        <v>514</v>
      </c>
      <c r="U15" s="30" t="s">
        <v>507</v>
      </c>
      <c r="V15" s="30"/>
      <c r="W15" s="254" t="s">
        <v>1706</v>
      </c>
      <c r="X15" s="262" t="s">
        <v>1393</v>
      </c>
      <c r="Y15" s="262" t="s">
        <v>1393</v>
      </c>
      <c r="Z15" s="262">
        <v>0.4</v>
      </c>
      <c r="AA15" s="262">
        <v>0.6</v>
      </c>
      <c r="AB15" s="262">
        <v>0.6</v>
      </c>
      <c r="AC15" s="262">
        <v>0.6</v>
      </c>
      <c r="AD15" s="262" t="s">
        <v>1393</v>
      </c>
      <c r="AE15" s="262" t="s">
        <v>1393</v>
      </c>
      <c r="AF15" s="284"/>
    </row>
    <row r="16" spans="1:34" ht="16.5" customHeight="1" x14ac:dyDescent="0.25">
      <c r="A16" s="30"/>
      <c r="B16" s="30">
        <v>12110</v>
      </c>
      <c r="C16" s="30" t="s">
        <v>331</v>
      </c>
      <c r="D16" s="30" t="s">
        <v>496</v>
      </c>
      <c r="E16" s="30"/>
      <c r="F16" s="30" t="s">
        <v>553</v>
      </c>
      <c r="G16" s="30" t="s">
        <v>511</v>
      </c>
      <c r="H16" s="30" t="s">
        <v>554</v>
      </c>
      <c r="I16" s="267" t="s">
        <v>503</v>
      </c>
      <c r="J16" s="30"/>
      <c r="K16" s="30"/>
      <c r="L16" s="30"/>
      <c r="M16" s="30"/>
      <c r="N16" s="30"/>
      <c r="O16" s="30"/>
      <c r="P16" s="30"/>
      <c r="Q16" s="30" t="s">
        <v>492</v>
      </c>
      <c r="R16" s="30" t="s">
        <v>553</v>
      </c>
      <c r="S16" s="30" t="s">
        <v>489</v>
      </c>
      <c r="T16" s="270" t="s">
        <v>514</v>
      </c>
      <c r="U16" s="30" t="s">
        <v>507</v>
      </c>
      <c r="V16" s="30"/>
      <c r="W16" s="254" t="s">
        <v>534</v>
      </c>
      <c r="X16" s="262">
        <v>0.4</v>
      </c>
      <c r="Y16" s="262" t="s">
        <v>1393</v>
      </c>
      <c r="Z16" s="262">
        <v>0.4</v>
      </c>
      <c r="AA16" s="1672" t="s">
        <v>1393</v>
      </c>
      <c r="AB16" s="1672">
        <v>0.6</v>
      </c>
      <c r="AC16" s="262" t="s">
        <v>1393</v>
      </c>
      <c r="AD16" s="262" t="s">
        <v>1393</v>
      </c>
      <c r="AE16" s="262" t="s">
        <v>1393</v>
      </c>
    </row>
    <row r="17" spans="1:31" ht="16.5" customHeight="1" x14ac:dyDescent="0.25">
      <c r="A17" s="30"/>
      <c r="B17" s="30">
        <v>12111</v>
      </c>
      <c r="C17" s="30" t="s">
        <v>333</v>
      </c>
      <c r="D17" s="30" t="s">
        <v>529</v>
      </c>
      <c r="E17" s="30"/>
      <c r="F17" s="270" t="s">
        <v>555</v>
      </c>
      <c r="G17" s="30" t="s">
        <v>511</v>
      </c>
      <c r="H17" s="30" t="s">
        <v>556</v>
      </c>
      <c r="I17" s="30" t="s">
        <v>486</v>
      </c>
      <c r="J17" s="30"/>
      <c r="K17" s="30"/>
      <c r="L17" s="30"/>
      <c r="M17" s="30"/>
      <c r="N17" s="30"/>
      <c r="O17" s="30"/>
      <c r="P17" s="30"/>
      <c r="Q17" s="30" t="s">
        <v>492</v>
      </c>
      <c r="R17" s="30" t="s">
        <v>555</v>
      </c>
      <c r="S17" s="30" t="s">
        <v>539</v>
      </c>
      <c r="T17" s="270" t="s">
        <v>478</v>
      </c>
      <c r="U17" s="30" t="s">
        <v>491</v>
      </c>
      <c r="V17" s="30"/>
      <c r="W17" s="254" t="s">
        <v>540</v>
      </c>
      <c r="X17" s="262">
        <v>0.6</v>
      </c>
      <c r="Y17" s="262">
        <v>1</v>
      </c>
      <c r="Z17" s="262">
        <v>0.6</v>
      </c>
      <c r="AA17" s="262">
        <v>1</v>
      </c>
      <c r="AB17" s="262">
        <v>0.4</v>
      </c>
      <c r="AC17" s="262" t="s">
        <v>1393</v>
      </c>
      <c r="AD17" s="262" t="s">
        <v>1393</v>
      </c>
      <c r="AE17" s="262">
        <v>1</v>
      </c>
    </row>
    <row r="18" spans="1:31" ht="16.5" customHeight="1" x14ac:dyDescent="0.25">
      <c r="A18" s="30"/>
      <c r="B18" s="30">
        <v>12112</v>
      </c>
      <c r="C18" s="30" t="s">
        <v>335</v>
      </c>
      <c r="D18" s="30" t="s">
        <v>557</v>
      </c>
      <c r="E18" s="30"/>
      <c r="F18" s="30" t="s">
        <v>558</v>
      </c>
      <c r="G18" s="30" t="s">
        <v>484</v>
      </c>
      <c r="H18" s="30" t="s">
        <v>557</v>
      </c>
      <c r="I18" s="30" t="s">
        <v>486</v>
      </c>
      <c r="J18" s="30"/>
      <c r="K18" s="30"/>
      <c r="L18" s="30"/>
      <c r="M18" s="30"/>
      <c r="N18" s="30"/>
      <c r="O18" s="30"/>
      <c r="P18" s="30"/>
      <c r="Q18" s="30" t="s">
        <v>492</v>
      </c>
      <c r="R18" s="30" t="s">
        <v>558</v>
      </c>
      <c r="S18" s="30" t="s">
        <v>489</v>
      </c>
      <c r="T18" s="261" t="s">
        <v>490</v>
      </c>
      <c r="U18" s="30" t="s">
        <v>491</v>
      </c>
      <c r="V18" s="30"/>
      <c r="W18" s="254" t="s">
        <v>1719</v>
      </c>
      <c r="X18" s="280">
        <v>0.4</v>
      </c>
      <c r="Y18" s="280">
        <v>0.4</v>
      </c>
      <c r="Z18" s="280">
        <v>0.4</v>
      </c>
      <c r="AA18" s="280">
        <v>0.3</v>
      </c>
      <c r="AB18" s="280">
        <v>0.3</v>
      </c>
      <c r="AC18" s="280">
        <v>0.3</v>
      </c>
      <c r="AD18" s="280">
        <v>0.3</v>
      </c>
      <c r="AE18" s="262" t="s">
        <v>1393</v>
      </c>
    </row>
    <row r="19" spans="1:31" ht="16.5" customHeight="1" x14ac:dyDescent="0.25">
      <c r="A19" s="30"/>
      <c r="B19" s="30">
        <v>12113</v>
      </c>
      <c r="C19" s="30" t="s">
        <v>337</v>
      </c>
      <c r="D19" s="30" t="s">
        <v>559</v>
      </c>
      <c r="E19" s="30"/>
      <c r="F19" s="30" t="s">
        <v>560</v>
      </c>
      <c r="G19" s="30" t="s">
        <v>511</v>
      </c>
      <c r="H19" s="30" t="s">
        <v>554</v>
      </c>
      <c r="I19" s="267" t="s">
        <v>503</v>
      </c>
      <c r="J19" s="30"/>
      <c r="K19" s="30"/>
      <c r="L19" s="30"/>
      <c r="M19" s="30"/>
      <c r="N19" s="30"/>
      <c r="O19" s="30"/>
      <c r="P19" s="30"/>
      <c r="Q19" s="30" t="s">
        <v>492</v>
      </c>
      <c r="R19" s="30" t="s">
        <v>560</v>
      </c>
      <c r="S19" s="30" t="s">
        <v>489</v>
      </c>
      <c r="T19" s="261" t="s">
        <v>490</v>
      </c>
      <c r="U19" s="30" t="s">
        <v>491</v>
      </c>
      <c r="V19" s="30"/>
      <c r="W19" s="254" t="s">
        <v>1719</v>
      </c>
      <c r="X19" s="280">
        <v>0.4</v>
      </c>
      <c r="Y19" s="280">
        <v>0.4</v>
      </c>
      <c r="Z19" s="280">
        <v>0.4</v>
      </c>
      <c r="AA19" s="280">
        <v>0.3</v>
      </c>
      <c r="AB19" s="280">
        <v>0.3</v>
      </c>
      <c r="AC19" s="280">
        <v>0.3</v>
      </c>
      <c r="AD19" s="280">
        <v>0.3</v>
      </c>
      <c r="AE19" s="262" t="s">
        <v>1393</v>
      </c>
    </row>
    <row r="20" spans="1:31" ht="21" customHeight="1" x14ac:dyDescent="0.25">
      <c r="A20" s="30"/>
      <c r="B20" s="30">
        <v>12114</v>
      </c>
      <c r="C20" s="30" t="s">
        <v>339</v>
      </c>
      <c r="D20" s="30" t="s">
        <v>561</v>
      </c>
      <c r="E20" s="30"/>
      <c r="F20" s="30" t="s">
        <v>562</v>
      </c>
      <c r="G20" s="30" t="s">
        <v>511</v>
      </c>
      <c r="H20" s="30" t="s">
        <v>509</v>
      </c>
      <c r="I20" s="267" t="s">
        <v>503</v>
      </c>
      <c r="J20" s="30"/>
      <c r="K20" s="30"/>
      <c r="L20" s="30"/>
      <c r="M20" s="30"/>
      <c r="N20" s="30"/>
      <c r="O20" s="30"/>
      <c r="P20" s="30"/>
      <c r="Q20" s="30" t="s">
        <v>492</v>
      </c>
      <c r="R20" s="30" t="s">
        <v>562</v>
      </c>
      <c r="S20" s="30" t="s">
        <v>489</v>
      </c>
      <c r="T20" s="270" t="s">
        <v>514</v>
      </c>
      <c r="U20" s="30" t="s">
        <v>507</v>
      </c>
      <c r="V20" s="30"/>
      <c r="W20" s="254" t="s">
        <v>1719</v>
      </c>
      <c r="X20" s="280">
        <v>0.4</v>
      </c>
      <c r="Y20" s="280">
        <v>0.4</v>
      </c>
      <c r="Z20" s="280">
        <v>0.4</v>
      </c>
      <c r="AA20" s="280">
        <v>0.3</v>
      </c>
      <c r="AB20" s="280">
        <v>0.3</v>
      </c>
      <c r="AC20" s="280">
        <v>0.3</v>
      </c>
      <c r="AD20" s="280">
        <v>0.3</v>
      </c>
      <c r="AE20" s="262" t="s">
        <v>1393</v>
      </c>
    </row>
    <row r="21" spans="1:31" ht="16.5" customHeight="1" x14ac:dyDescent="0.25">
      <c r="A21" s="30"/>
      <c r="B21" s="30">
        <v>12115</v>
      </c>
      <c r="C21" s="30" t="s">
        <v>341</v>
      </c>
      <c r="D21" s="30" t="s">
        <v>563</v>
      </c>
      <c r="E21" s="30"/>
      <c r="F21" s="30" t="s">
        <v>564</v>
      </c>
      <c r="G21" s="30" t="s">
        <v>511</v>
      </c>
      <c r="H21" s="30" t="s">
        <v>565</v>
      </c>
      <c r="I21" s="267" t="s">
        <v>503</v>
      </c>
      <c r="J21" s="30"/>
      <c r="K21" s="30"/>
      <c r="L21" s="30"/>
      <c r="M21" s="30"/>
      <c r="N21" s="30"/>
      <c r="O21" s="30"/>
      <c r="P21" s="30"/>
      <c r="Q21" s="30" t="s">
        <v>492</v>
      </c>
      <c r="R21" s="30" t="s">
        <v>564</v>
      </c>
      <c r="S21" s="30" t="s">
        <v>489</v>
      </c>
      <c r="T21" s="270" t="s">
        <v>514</v>
      </c>
      <c r="U21" s="30" t="s">
        <v>507</v>
      </c>
      <c r="V21" s="30"/>
      <c r="W21" s="283" t="s">
        <v>1538</v>
      </c>
      <c r="X21" s="272">
        <v>0.6</v>
      </c>
      <c r="Y21" s="272">
        <v>0.6</v>
      </c>
      <c r="Z21" s="272">
        <v>0.6</v>
      </c>
      <c r="AA21" s="272">
        <v>0.7</v>
      </c>
      <c r="AB21" s="272">
        <v>0.7</v>
      </c>
      <c r="AC21" s="272">
        <v>0.7</v>
      </c>
      <c r="AD21" s="284">
        <v>0.7</v>
      </c>
      <c r="AE21" s="262" t="s">
        <v>1393</v>
      </c>
    </row>
    <row r="22" spans="1:31" ht="16.5" customHeight="1" x14ac:dyDescent="0.25">
      <c r="A22" s="30"/>
      <c r="B22" s="30">
        <v>12116</v>
      </c>
      <c r="C22" s="30" t="s">
        <v>343</v>
      </c>
      <c r="D22" s="30" t="s">
        <v>566</v>
      </c>
      <c r="E22" s="30"/>
      <c r="F22" s="30" t="s">
        <v>567</v>
      </c>
      <c r="G22" s="30" t="s">
        <v>511</v>
      </c>
      <c r="H22" s="30" t="s">
        <v>494</v>
      </c>
      <c r="I22" s="267" t="s">
        <v>503</v>
      </c>
      <c r="J22" s="30"/>
      <c r="K22" s="30"/>
      <c r="L22" s="30"/>
      <c r="M22" s="30"/>
      <c r="N22" s="30"/>
      <c r="O22" s="30"/>
      <c r="P22" s="30" t="s">
        <v>1571</v>
      </c>
      <c r="Q22" s="30" t="s">
        <v>492</v>
      </c>
      <c r="R22" s="30" t="s">
        <v>567</v>
      </c>
      <c r="S22" s="30" t="s">
        <v>489</v>
      </c>
      <c r="T22" s="270" t="s">
        <v>514</v>
      </c>
      <c r="U22" s="30" t="s">
        <v>507</v>
      </c>
      <c r="V22" s="30"/>
      <c r="W22" s="254"/>
      <c r="X22" s="254"/>
      <c r="Y22" s="254"/>
      <c r="Z22" s="254"/>
      <c r="AA22" s="254"/>
    </row>
    <row r="23" spans="1:31" ht="88.5" customHeight="1" x14ac:dyDescent="0.25">
      <c r="A23" s="30"/>
      <c r="B23" s="30">
        <v>12117</v>
      </c>
      <c r="C23" s="30" t="s">
        <v>345</v>
      </c>
      <c r="D23" s="30" t="s">
        <v>568</v>
      </c>
      <c r="E23" s="30"/>
      <c r="F23" s="30" t="s">
        <v>569</v>
      </c>
      <c r="G23" s="30" t="s">
        <v>511</v>
      </c>
      <c r="H23" s="30" t="s">
        <v>554</v>
      </c>
      <c r="I23" s="267" t="s">
        <v>503</v>
      </c>
      <c r="J23" s="30"/>
      <c r="K23" s="30"/>
      <c r="L23" s="30"/>
      <c r="M23" s="30"/>
      <c r="N23" s="30"/>
      <c r="O23" s="30"/>
      <c r="P23" s="30" t="s">
        <v>1572</v>
      </c>
      <c r="Q23" s="30" t="s">
        <v>492</v>
      </c>
      <c r="R23" s="30" t="s">
        <v>569</v>
      </c>
      <c r="S23" s="30" t="s">
        <v>489</v>
      </c>
      <c r="T23" s="261" t="s">
        <v>490</v>
      </c>
      <c r="U23" s="30" t="s">
        <v>491</v>
      </c>
      <c r="V23" s="30"/>
      <c r="X23" s="1324" t="s">
        <v>675</v>
      </c>
      <c r="Y23" s="1324" t="s">
        <v>1666</v>
      </c>
      <c r="AA23" s="254"/>
    </row>
    <row r="24" spans="1:31" ht="72.75" customHeight="1" x14ac:dyDescent="0.25">
      <c r="A24" s="30"/>
      <c r="B24" s="30">
        <v>12118</v>
      </c>
      <c r="C24" s="30" t="s">
        <v>347</v>
      </c>
      <c r="D24" s="30" t="s">
        <v>570</v>
      </c>
      <c r="E24" s="30"/>
      <c r="F24" s="30" t="s">
        <v>571</v>
      </c>
      <c r="G24" s="30" t="s">
        <v>511</v>
      </c>
      <c r="H24" s="30" t="s">
        <v>494</v>
      </c>
      <c r="I24" s="267" t="s">
        <v>503</v>
      </c>
      <c r="J24" s="30"/>
      <c r="K24" s="30"/>
      <c r="L24" s="30"/>
      <c r="M24" s="30"/>
      <c r="N24" s="30"/>
      <c r="O24" s="30"/>
      <c r="P24" s="30"/>
      <c r="Q24" s="30" t="s">
        <v>492</v>
      </c>
      <c r="R24" s="285" t="s">
        <v>571</v>
      </c>
      <c r="S24" s="30" t="s">
        <v>489</v>
      </c>
      <c r="T24" s="270" t="s">
        <v>514</v>
      </c>
      <c r="U24" s="30" t="s">
        <v>507</v>
      </c>
      <c r="V24" s="30"/>
      <c r="W24" s="1321" t="s">
        <v>1661</v>
      </c>
      <c r="X24" t="s">
        <v>1667</v>
      </c>
      <c r="Y24" t="s">
        <v>1668</v>
      </c>
      <c r="AA24" s="254"/>
    </row>
    <row r="25" spans="1:31" ht="16.5" customHeight="1" x14ac:dyDescent="0.25">
      <c r="A25" s="30"/>
      <c r="B25" s="30">
        <v>12119</v>
      </c>
      <c r="C25" s="30" t="s">
        <v>349</v>
      </c>
      <c r="D25" s="30" t="s">
        <v>572</v>
      </c>
      <c r="E25" s="30"/>
      <c r="F25" s="30" t="s">
        <v>573</v>
      </c>
      <c r="G25" s="30" t="s">
        <v>484</v>
      </c>
      <c r="H25" s="30" t="s">
        <v>559</v>
      </c>
      <c r="I25" s="30" t="s">
        <v>486</v>
      </c>
      <c r="J25" s="30"/>
      <c r="K25" s="30"/>
      <c r="L25" s="30"/>
      <c r="M25" s="30"/>
      <c r="N25" s="30"/>
      <c r="O25" s="30"/>
      <c r="P25" s="30"/>
      <c r="Q25" s="30" t="s">
        <v>492</v>
      </c>
      <c r="R25" s="30" t="s">
        <v>573</v>
      </c>
      <c r="S25" s="30" t="s">
        <v>489</v>
      </c>
      <c r="T25" s="261" t="s">
        <v>490</v>
      </c>
      <c r="U25" s="30" t="s">
        <v>491</v>
      </c>
      <c r="V25" s="30"/>
      <c r="W25" s="1321" t="s">
        <v>1662</v>
      </c>
      <c r="X25" t="s">
        <v>1668</v>
      </c>
      <c r="Y25" t="s">
        <v>1668</v>
      </c>
      <c r="AA25" s="254"/>
    </row>
    <row r="26" spans="1:31" ht="16.5" customHeight="1" x14ac:dyDescent="0.25">
      <c r="A26" s="30"/>
      <c r="B26" s="30">
        <v>12120</v>
      </c>
      <c r="C26" s="30" t="s">
        <v>351</v>
      </c>
      <c r="D26" s="30" t="s">
        <v>574</v>
      </c>
      <c r="E26" s="30"/>
      <c r="F26" s="30" t="s">
        <v>575</v>
      </c>
      <c r="G26" s="30" t="s">
        <v>576</v>
      </c>
      <c r="H26" s="30" t="s">
        <v>577</v>
      </c>
      <c r="I26" s="267" t="s">
        <v>503</v>
      </c>
      <c r="J26" s="30"/>
      <c r="K26" s="30"/>
      <c r="L26" s="30"/>
      <c r="M26" s="30"/>
      <c r="N26" s="30"/>
      <c r="O26" s="30"/>
      <c r="P26" s="30"/>
      <c r="Q26" s="30" t="s">
        <v>492</v>
      </c>
      <c r="R26" s="30" t="s">
        <v>575</v>
      </c>
      <c r="S26" s="30" t="s">
        <v>489</v>
      </c>
      <c r="T26" s="261" t="s">
        <v>490</v>
      </c>
      <c r="U26" s="30" t="s">
        <v>491</v>
      </c>
      <c r="V26" s="30"/>
      <c r="W26" s="1321" t="s">
        <v>1663</v>
      </c>
      <c r="X26" t="s">
        <v>1668</v>
      </c>
      <c r="Y26" t="s">
        <v>1668</v>
      </c>
      <c r="AA26" s="254"/>
    </row>
    <row r="27" spans="1:31" ht="16.5" customHeight="1" x14ac:dyDescent="0.25">
      <c r="A27" s="30"/>
      <c r="B27" s="30">
        <v>130000</v>
      </c>
      <c r="C27" s="30" t="s">
        <v>353</v>
      </c>
      <c r="D27" s="30" t="s">
        <v>554</v>
      </c>
      <c r="E27" s="30"/>
      <c r="F27" s="30" t="s">
        <v>578</v>
      </c>
      <c r="G27" s="30" t="s">
        <v>511</v>
      </c>
      <c r="H27" s="30" t="s">
        <v>579</v>
      </c>
      <c r="I27" s="267" t="s">
        <v>503</v>
      </c>
      <c r="J27" s="30"/>
      <c r="K27" s="30"/>
      <c r="L27" s="30"/>
      <c r="M27" s="30"/>
      <c r="N27" s="30"/>
      <c r="O27" s="30"/>
      <c r="P27" s="30"/>
      <c r="Q27" s="30" t="s">
        <v>492</v>
      </c>
      <c r="R27" s="30" t="s">
        <v>578</v>
      </c>
      <c r="S27" s="30" t="s">
        <v>489</v>
      </c>
      <c r="T27" s="261" t="s">
        <v>490</v>
      </c>
      <c r="U27" s="30" t="s">
        <v>491</v>
      </c>
      <c r="V27" s="30"/>
      <c r="AA27" s="254"/>
    </row>
    <row r="28" spans="1:31" ht="16.5" customHeight="1" x14ac:dyDescent="0.25">
      <c r="A28" s="30"/>
      <c r="B28" s="30">
        <v>140000</v>
      </c>
      <c r="C28" s="30" t="s">
        <v>355</v>
      </c>
      <c r="D28" s="30" t="s">
        <v>544</v>
      </c>
      <c r="E28" s="30"/>
      <c r="F28" s="30" t="s">
        <v>580</v>
      </c>
      <c r="G28" s="30" t="s">
        <v>511</v>
      </c>
      <c r="H28" s="30" t="s">
        <v>577</v>
      </c>
      <c r="I28" s="267" t="s">
        <v>503</v>
      </c>
      <c r="J28" s="30"/>
      <c r="K28" s="30"/>
      <c r="L28" s="30"/>
      <c r="M28" s="30"/>
      <c r="N28" s="30"/>
      <c r="O28" s="30"/>
      <c r="P28" s="30"/>
      <c r="Q28" s="30" t="s">
        <v>492</v>
      </c>
      <c r="R28" s="30" t="s">
        <v>580</v>
      </c>
      <c r="S28" s="30" t="s">
        <v>489</v>
      </c>
      <c r="T28" s="261" t="s">
        <v>490</v>
      </c>
      <c r="U28" s="30" t="s">
        <v>491</v>
      </c>
      <c r="V28" s="30"/>
      <c r="AA28" s="254"/>
    </row>
    <row r="29" spans="1:31" ht="16.5" customHeight="1" x14ac:dyDescent="0.25">
      <c r="A29" s="30"/>
      <c r="B29" s="30">
        <v>150000</v>
      </c>
      <c r="C29" s="30" t="s">
        <v>357</v>
      </c>
      <c r="D29" s="30" t="s">
        <v>538</v>
      </c>
      <c r="E29" s="30"/>
      <c r="F29" s="30" t="s">
        <v>581</v>
      </c>
      <c r="G29" s="30" t="s">
        <v>484</v>
      </c>
      <c r="H29" s="30" t="s">
        <v>561</v>
      </c>
      <c r="I29" s="30" t="s">
        <v>486</v>
      </c>
      <c r="J29" s="30"/>
      <c r="K29" s="30"/>
      <c r="L29" s="30"/>
      <c r="M29" s="30"/>
      <c r="N29" s="30"/>
      <c r="O29" s="30"/>
      <c r="P29" s="30"/>
      <c r="Q29" s="30" t="s">
        <v>492</v>
      </c>
      <c r="R29" s="30" t="s">
        <v>581</v>
      </c>
      <c r="S29" s="30" t="s">
        <v>489</v>
      </c>
      <c r="T29" s="261" t="s">
        <v>490</v>
      </c>
      <c r="U29" s="30" t="s">
        <v>491</v>
      </c>
      <c r="V29" s="30"/>
    </row>
    <row r="30" spans="1:31" ht="16.5" customHeight="1" x14ac:dyDescent="0.25">
      <c r="A30" s="30"/>
      <c r="B30" s="30">
        <v>190000</v>
      </c>
      <c r="C30" s="30" t="s">
        <v>359</v>
      </c>
      <c r="D30" s="30" t="s">
        <v>552</v>
      </c>
      <c r="E30" s="30"/>
      <c r="F30" s="30" t="s">
        <v>583</v>
      </c>
      <c r="G30" s="30" t="s">
        <v>484</v>
      </c>
      <c r="H30" s="30" t="s">
        <v>563</v>
      </c>
      <c r="I30" s="30" t="s">
        <v>486</v>
      </c>
      <c r="J30" s="30"/>
      <c r="K30" s="30"/>
      <c r="L30" s="30"/>
      <c r="M30" s="30"/>
      <c r="N30" s="30"/>
      <c r="O30" s="30"/>
      <c r="P30" s="30"/>
      <c r="Q30" s="30" t="s">
        <v>492</v>
      </c>
      <c r="R30" s="30" t="s">
        <v>583</v>
      </c>
      <c r="S30" s="30" t="s">
        <v>489</v>
      </c>
      <c r="T30" s="261" t="s">
        <v>490</v>
      </c>
      <c r="U30" s="30" t="s">
        <v>491</v>
      </c>
      <c r="V30" s="30"/>
      <c r="W30" s="286"/>
      <c r="AA30" s="254"/>
      <c r="AB30" s="254"/>
    </row>
    <row r="31" spans="1:31" ht="107.25" customHeight="1" x14ac:dyDescent="0.25">
      <c r="A31" s="30"/>
      <c r="B31" s="30">
        <v>200000</v>
      </c>
      <c r="C31" s="30" t="s">
        <v>361</v>
      </c>
      <c r="D31" s="30" t="s">
        <v>565</v>
      </c>
      <c r="E31" s="30"/>
      <c r="F31" s="30" t="s">
        <v>585</v>
      </c>
      <c r="G31" s="30" t="s">
        <v>484</v>
      </c>
      <c r="H31" s="30" t="s">
        <v>566</v>
      </c>
      <c r="I31" s="30" t="s">
        <v>486</v>
      </c>
      <c r="J31" s="30"/>
      <c r="K31" s="30"/>
      <c r="L31" s="30"/>
      <c r="M31" s="30"/>
      <c r="N31" s="30"/>
      <c r="O31" s="30"/>
      <c r="P31" s="30"/>
      <c r="Q31" s="30" t="s">
        <v>492</v>
      </c>
      <c r="R31" s="30" t="s">
        <v>585</v>
      </c>
      <c r="S31" s="30" t="s">
        <v>489</v>
      </c>
      <c r="T31" s="261" t="s">
        <v>490</v>
      </c>
      <c r="U31" s="30" t="s">
        <v>491</v>
      </c>
      <c r="V31" s="30"/>
      <c r="W31" s="286"/>
      <c r="AA31" s="254"/>
    </row>
    <row r="32" spans="1:31" ht="16.5" customHeight="1" x14ac:dyDescent="0.25">
      <c r="A32" s="30"/>
      <c r="B32" s="30">
        <v>210000</v>
      </c>
      <c r="C32" s="30" t="s">
        <v>363</v>
      </c>
      <c r="D32" s="30" t="s">
        <v>119</v>
      </c>
      <c r="E32" s="30"/>
      <c r="F32" s="30" t="s">
        <v>587</v>
      </c>
      <c r="G32" s="30" t="s">
        <v>484</v>
      </c>
      <c r="H32" s="30" t="s">
        <v>568</v>
      </c>
      <c r="I32" s="30" t="s">
        <v>486</v>
      </c>
      <c r="J32" s="30"/>
      <c r="K32" s="30"/>
      <c r="L32" s="30"/>
      <c r="M32" s="30"/>
      <c r="N32" s="30"/>
      <c r="O32" s="30"/>
      <c r="P32" s="30"/>
      <c r="Q32" s="30" t="s">
        <v>492</v>
      </c>
      <c r="R32" s="30" t="s">
        <v>587</v>
      </c>
      <c r="S32" s="30" t="s">
        <v>489</v>
      </c>
      <c r="T32" s="261" t="s">
        <v>490</v>
      </c>
      <c r="U32" s="30" t="s">
        <v>491</v>
      </c>
      <c r="V32" s="30"/>
      <c r="W32" s="286"/>
      <c r="AA32" s="280"/>
      <c r="AB32" s="280"/>
    </row>
    <row r="33" spans="1:31" ht="16.5" customHeight="1" x14ac:dyDescent="0.25">
      <c r="A33" s="30"/>
      <c r="B33" s="30">
        <v>220000</v>
      </c>
      <c r="C33" s="30" t="s">
        <v>365</v>
      </c>
      <c r="D33" s="30" t="s">
        <v>556</v>
      </c>
      <c r="E33" s="30"/>
      <c r="F33" s="30" t="s">
        <v>588</v>
      </c>
      <c r="G33" s="30" t="s">
        <v>484</v>
      </c>
      <c r="H33" s="30" t="s">
        <v>570</v>
      </c>
      <c r="I33" s="30" t="s">
        <v>486</v>
      </c>
      <c r="J33" s="30"/>
      <c r="K33" s="30"/>
      <c r="L33" s="30"/>
      <c r="M33" s="30"/>
      <c r="N33" s="30"/>
      <c r="O33" s="30"/>
      <c r="P33" s="30"/>
      <c r="Q33" s="30" t="s">
        <v>492</v>
      </c>
      <c r="R33" s="30" t="s">
        <v>588</v>
      </c>
      <c r="S33" s="30" t="s">
        <v>489</v>
      </c>
      <c r="T33" s="261" t="s">
        <v>490</v>
      </c>
      <c r="U33" s="30" t="s">
        <v>491</v>
      </c>
      <c r="V33" s="30"/>
      <c r="W33" s="287"/>
      <c r="X33" s="254"/>
      <c r="Y33" s="254"/>
      <c r="Z33" s="280"/>
      <c r="AA33" s="254"/>
    </row>
    <row r="34" spans="1:31" ht="16.5" customHeight="1" x14ac:dyDescent="0.25">
      <c r="A34" s="30"/>
      <c r="B34" s="30">
        <v>230000</v>
      </c>
      <c r="C34" s="30" t="s">
        <v>367</v>
      </c>
      <c r="D34" s="30" t="s">
        <v>577</v>
      </c>
      <c r="E34" s="30"/>
      <c r="F34" s="30" t="s">
        <v>589</v>
      </c>
      <c r="G34" s="30" t="s">
        <v>484</v>
      </c>
      <c r="H34" s="30" t="s">
        <v>572</v>
      </c>
      <c r="I34" s="30" t="s">
        <v>486</v>
      </c>
      <c r="J34" s="30"/>
      <c r="K34" s="30"/>
      <c r="L34" s="30"/>
      <c r="M34" s="30"/>
      <c r="N34" s="30"/>
      <c r="O34" s="30"/>
      <c r="P34" s="30"/>
      <c r="Q34" s="30" t="s">
        <v>492</v>
      </c>
      <c r="R34" s="30" t="s">
        <v>589</v>
      </c>
      <c r="S34" s="30" t="s">
        <v>489</v>
      </c>
      <c r="T34" s="261" t="s">
        <v>490</v>
      </c>
      <c r="U34" s="30" t="s">
        <v>491</v>
      </c>
      <c r="V34" s="30"/>
      <c r="W34" s="286"/>
      <c r="X34" s="254"/>
      <c r="Y34" s="254"/>
      <c r="Z34" s="280"/>
      <c r="AA34" s="254"/>
    </row>
    <row r="35" spans="1:31" ht="16.5" customHeight="1" x14ac:dyDescent="0.25">
      <c r="A35" s="30"/>
      <c r="B35" s="30">
        <v>80000</v>
      </c>
      <c r="C35" s="30" t="s">
        <v>369</v>
      </c>
      <c r="D35" s="30" t="s">
        <v>547</v>
      </c>
      <c r="E35" s="30"/>
      <c r="F35" s="30" t="s">
        <v>590</v>
      </c>
      <c r="G35" s="30" t="s">
        <v>484</v>
      </c>
      <c r="H35" s="30" t="s">
        <v>522</v>
      </c>
      <c r="I35" s="30" t="s">
        <v>486</v>
      </c>
      <c r="J35" s="30"/>
      <c r="K35" s="30"/>
      <c r="L35" s="30"/>
      <c r="M35" s="30"/>
      <c r="N35" s="30"/>
      <c r="O35" s="30"/>
      <c r="P35" s="30"/>
      <c r="Q35" s="30" t="s">
        <v>492</v>
      </c>
      <c r="R35" s="30" t="s">
        <v>590</v>
      </c>
      <c r="S35" s="30" t="s">
        <v>489</v>
      </c>
      <c r="T35" s="261" t="s">
        <v>490</v>
      </c>
      <c r="U35" s="30" t="s">
        <v>491</v>
      </c>
      <c r="V35" s="30"/>
      <c r="W35" s="288" t="s">
        <v>582</v>
      </c>
      <c r="X35" s="254"/>
      <c r="Y35" s="254"/>
      <c r="Z35" s="254"/>
      <c r="AA35" s="254"/>
    </row>
    <row r="36" spans="1:31" ht="16.5" customHeight="1" x14ac:dyDescent="0.25">
      <c r="A36" s="30"/>
      <c r="B36" s="30">
        <v>90000</v>
      </c>
      <c r="C36" s="30" t="s">
        <v>371</v>
      </c>
      <c r="D36" s="30" t="s">
        <v>579</v>
      </c>
      <c r="E36" s="30"/>
      <c r="F36" s="30" t="s">
        <v>591</v>
      </c>
      <c r="G36" s="30" t="s">
        <v>484</v>
      </c>
      <c r="H36" s="30" t="s">
        <v>574</v>
      </c>
      <c r="I36" s="30" t="s">
        <v>486</v>
      </c>
      <c r="J36" s="30"/>
      <c r="K36" s="30"/>
      <c r="L36" s="30"/>
      <c r="M36" s="30"/>
      <c r="N36" s="30"/>
      <c r="O36" s="30"/>
      <c r="P36" s="30"/>
      <c r="Q36" s="30" t="s">
        <v>492</v>
      </c>
      <c r="R36" s="30" t="s">
        <v>591</v>
      </c>
      <c r="S36" s="30" t="s">
        <v>489</v>
      </c>
      <c r="T36" s="261" t="s">
        <v>490</v>
      </c>
      <c r="U36" s="30" t="s">
        <v>491</v>
      </c>
      <c r="V36" s="30"/>
      <c r="W36" s="276" t="s">
        <v>584</v>
      </c>
      <c r="X36" s="254"/>
      <c r="Y36" s="254"/>
      <c r="Z36" s="280"/>
      <c r="AA36" s="254"/>
    </row>
    <row r="37" spans="1:31" ht="16.5" customHeight="1" x14ac:dyDescent="0.25">
      <c r="A37" s="30"/>
      <c r="B37" s="30"/>
      <c r="C37" s="30"/>
      <c r="D37" s="30"/>
      <c r="E37" s="30"/>
      <c r="F37" s="270" t="s">
        <v>592</v>
      </c>
      <c r="G37" s="30" t="s">
        <v>593</v>
      </c>
      <c r="H37" s="30" t="s">
        <v>552</v>
      </c>
      <c r="I37" s="267" t="s">
        <v>503</v>
      </c>
      <c r="J37" s="30" t="s">
        <v>486</v>
      </c>
      <c r="K37" s="30"/>
      <c r="L37" s="30"/>
      <c r="M37" s="30"/>
      <c r="N37" s="30"/>
      <c r="O37" s="30"/>
      <c r="P37" s="30"/>
      <c r="Q37" s="30" t="s">
        <v>492</v>
      </c>
      <c r="R37" s="30" t="s">
        <v>592</v>
      </c>
      <c r="S37" s="30" t="s">
        <v>539</v>
      </c>
      <c r="T37" s="270" t="s">
        <v>478</v>
      </c>
      <c r="U37" s="30" t="s">
        <v>491</v>
      </c>
      <c r="V37" s="30"/>
      <c r="W37" s="288" t="s">
        <v>586</v>
      </c>
      <c r="X37" s="254"/>
      <c r="Y37" s="254"/>
      <c r="Z37" s="254"/>
      <c r="AA37" s="254"/>
      <c r="AB37" s="254"/>
      <c r="AC37" s="254"/>
      <c r="AD37" s="254"/>
      <c r="AE37" s="254"/>
    </row>
    <row r="38" spans="1:31" ht="16.5" customHeight="1" x14ac:dyDescent="0.25">
      <c r="A38" s="30"/>
      <c r="B38" s="30"/>
      <c r="C38" s="30"/>
      <c r="D38" s="30"/>
      <c r="E38" s="30"/>
      <c r="F38" s="289" t="s">
        <v>594</v>
      </c>
      <c r="G38" s="30" t="s">
        <v>595</v>
      </c>
      <c r="H38" s="30" t="s">
        <v>482</v>
      </c>
      <c r="I38" s="267" t="s">
        <v>503</v>
      </c>
      <c r="J38" s="30" t="s">
        <v>486</v>
      </c>
      <c r="K38" s="30"/>
      <c r="L38" s="30"/>
      <c r="M38" s="30"/>
      <c r="N38" s="30"/>
      <c r="O38" s="30"/>
      <c r="P38" s="30"/>
      <c r="Q38" s="30" t="s">
        <v>492</v>
      </c>
      <c r="R38" s="290" t="s">
        <v>594</v>
      </c>
      <c r="S38" s="291" t="s">
        <v>539</v>
      </c>
      <c r="T38" s="292" t="s">
        <v>478</v>
      </c>
      <c r="U38" s="291" t="s">
        <v>491</v>
      </c>
      <c r="V38" s="291"/>
      <c r="W38" s="254"/>
      <c r="X38" s="254"/>
      <c r="Y38" s="254"/>
      <c r="Z38" s="254"/>
      <c r="AA38" s="254"/>
      <c r="AB38" s="254"/>
      <c r="AC38" s="254"/>
      <c r="AD38" s="254"/>
      <c r="AE38" s="254"/>
    </row>
    <row r="39" spans="1:31" ht="23.65" customHeight="1" x14ac:dyDescent="0.25">
      <c r="A39" s="30"/>
      <c r="B39" s="30"/>
      <c r="C39" s="30"/>
      <c r="D39" s="30"/>
      <c r="E39" s="30"/>
      <c r="F39" s="30" t="s">
        <v>596</v>
      </c>
      <c r="G39" s="30" t="s">
        <v>597</v>
      </c>
      <c r="H39" s="30" t="s">
        <v>554</v>
      </c>
      <c r="I39" s="30" t="s">
        <v>486</v>
      </c>
      <c r="J39" s="30"/>
      <c r="K39" s="30"/>
      <c r="L39" s="30"/>
      <c r="M39" s="30"/>
      <c r="N39" s="30"/>
      <c r="O39" s="30"/>
      <c r="P39" s="30"/>
      <c r="Q39" s="30" t="s">
        <v>492</v>
      </c>
      <c r="R39" s="290" t="s">
        <v>598</v>
      </c>
      <c r="S39" s="291" t="s">
        <v>489</v>
      </c>
      <c r="T39" s="261" t="s">
        <v>490</v>
      </c>
      <c r="U39" s="30" t="s">
        <v>491</v>
      </c>
      <c r="V39" s="30"/>
      <c r="W39" s="254"/>
      <c r="X39" s="254"/>
      <c r="Y39" s="254"/>
      <c r="Z39" s="254"/>
      <c r="AA39" s="254"/>
      <c r="AB39" s="254"/>
      <c r="AC39" s="254"/>
      <c r="AD39" s="254"/>
      <c r="AE39" s="254"/>
    </row>
    <row r="40" spans="1:31" ht="16.5" customHeight="1" x14ac:dyDescent="0.25">
      <c r="A40" s="30"/>
      <c r="B40" s="30"/>
      <c r="C40" s="30"/>
      <c r="D40" s="30"/>
      <c r="E40" s="30"/>
      <c r="F40" s="289" t="s">
        <v>598</v>
      </c>
      <c r="G40" s="30" t="s">
        <v>511</v>
      </c>
      <c r="H40" s="30" t="s">
        <v>554</v>
      </c>
      <c r="I40" s="267" t="s">
        <v>503</v>
      </c>
      <c r="J40" s="30" t="s">
        <v>486</v>
      </c>
      <c r="K40" s="30"/>
      <c r="L40" s="30"/>
      <c r="M40" s="30"/>
      <c r="N40" s="30"/>
      <c r="O40" s="30"/>
      <c r="P40" s="30"/>
      <c r="Q40" s="30" t="s">
        <v>492</v>
      </c>
      <c r="R40" s="30" t="s">
        <v>599</v>
      </c>
      <c r="S40" s="30" t="s">
        <v>539</v>
      </c>
      <c r="T40" s="270" t="s">
        <v>478</v>
      </c>
      <c r="U40" s="30" t="s">
        <v>491</v>
      </c>
      <c r="V40" s="30"/>
      <c r="W40" s="254"/>
      <c r="X40" s="254"/>
      <c r="Y40" s="254"/>
      <c r="Z40" s="254"/>
      <c r="AA40" s="254"/>
      <c r="AB40" s="254"/>
      <c r="AC40" s="254"/>
      <c r="AD40" s="254"/>
      <c r="AE40" s="254"/>
    </row>
    <row r="41" spans="1:31" ht="16.5" customHeight="1" x14ac:dyDescent="0.25">
      <c r="A41" s="30"/>
      <c r="B41" s="30"/>
      <c r="C41" s="30"/>
      <c r="D41" s="30"/>
      <c r="E41" s="30"/>
      <c r="F41" s="270" t="s">
        <v>599</v>
      </c>
      <c r="G41" s="30" t="s">
        <v>593</v>
      </c>
      <c r="H41" s="30" t="s">
        <v>547</v>
      </c>
      <c r="I41" s="30" t="s">
        <v>486</v>
      </c>
      <c r="J41" s="30" t="s">
        <v>486</v>
      </c>
      <c r="K41" s="30"/>
      <c r="L41" s="30"/>
      <c r="M41" s="30"/>
      <c r="N41" s="30"/>
      <c r="O41" s="30"/>
      <c r="P41" s="30"/>
      <c r="Q41" s="30" t="s">
        <v>492</v>
      </c>
      <c r="R41" s="30" t="s">
        <v>600</v>
      </c>
      <c r="S41" s="30" t="s">
        <v>539</v>
      </c>
      <c r="T41" s="270" t="s">
        <v>478</v>
      </c>
      <c r="U41" s="30" t="s">
        <v>491</v>
      </c>
      <c r="V41" s="30"/>
      <c r="W41" s="254"/>
      <c r="X41" s="254"/>
      <c r="Y41" s="254"/>
      <c r="Z41" s="254"/>
      <c r="AA41" s="254"/>
      <c r="AB41" s="254"/>
      <c r="AC41" s="254"/>
      <c r="AD41" s="254"/>
      <c r="AE41" s="254"/>
    </row>
    <row r="42" spans="1:31" ht="16.5" customHeight="1" x14ac:dyDescent="0.25">
      <c r="A42" s="30"/>
      <c r="B42" s="30"/>
      <c r="C42" s="30"/>
      <c r="D42" s="30"/>
      <c r="E42" s="30"/>
      <c r="F42" s="30" t="s">
        <v>601</v>
      </c>
      <c r="G42" s="30" t="s">
        <v>602</v>
      </c>
      <c r="H42" s="30" t="s">
        <v>554</v>
      </c>
      <c r="I42" s="30" t="s">
        <v>486</v>
      </c>
      <c r="J42" s="30"/>
      <c r="K42" s="30"/>
      <c r="L42" s="30"/>
      <c r="M42" s="30"/>
      <c r="N42" s="30"/>
      <c r="O42" s="30"/>
      <c r="P42" s="30"/>
      <c r="Q42" s="30" t="s">
        <v>492</v>
      </c>
      <c r="R42" s="30" t="s">
        <v>603</v>
      </c>
      <c r="S42" s="30" t="s">
        <v>539</v>
      </c>
      <c r="T42" s="270" t="s">
        <v>478</v>
      </c>
      <c r="U42" s="30" t="s">
        <v>491</v>
      </c>
      <c r="V42" s="30"/>
      <c r="W42" s="254"/>
      <c r="X42" s="254"/>
      <c r="Y42" s="254"/>
      <c r="Z42" s="254"/>
      <c r="AA42" s="254"/>
      <c r="AB42" s="254"/>
      <c r="AC42" s="254"/>
      <c r="AD42" s="254"/>
      <c r="AE42" s="254"/>
    </row>
    <row r="43" spans="1:31" ht="16.5" customHeight="1" x14ac:dyDescent="0.25">
      <c r="A43" s="30"/>
      <c r="B43" s="30"/>
      <c r="C43" s="30"/>
      <c r="D43" s="30"/>
      <c r="E43" s="30" t="s">
        <v>595</v>
      </c>
      <c r="F43" s="30" t="s">
        <v>600</v>
      </c>
      <c r="G43" s="30" t="s">
        <v>484</v>
      </c>
      <c r="H43" s="30" t="s">
        <v>538</v>
      </c>
      <c r="I43" s="30" t="s">
        <v>486</v>
      </c>
      <c r="J43" s="30"/>
      <c r="K43" s="30"/>
      <c r="L43" s="30"/>
      <c r="M43" s="30"/>
      <c r="N43" s="30"/>
      <c r="O43" s="30"/>
      <c r="P43" s="30"/>
      <c r="Q43" s="30" t="s">
        <v>492</v>
      </c>
      <c r="R43" s="30" t="s">
        <v>604</v>
      </c>
      <c r="S43" s="30" t="s">
        <v>539</v>
      </c>
      <c r="T43" s="270" t="s">
        <v>478</v>
      </c>
      <c r="U43" s="30" t="s">
        <v>491</v>
      </c>
      <c r="V43" s="30"/>
      <c r="W43" s="254"/>
      <c r="X43" s="254"/>
      <c r="Y43" s="254"/>
      <c r="Z43" s="254"/>
      <c r="AA43" s="254"/>
      <c r="AB43" s="254"/>
      <c r="AC43" s="254"/>
      <c r="AD43" s="254"/>
      <c r="AE43" s="254"/>
    </row>
    <row r="44" spans="1:31" ht="16.5" customHeight="1" x14ac:dyDescent="0.25">
      <c r="A44" s="30"/>
      <c r="B44" s="30"/>
      <c r="C44" s="30"/>
      <c r="D44" s="30"/>
      <c r="E44" s="30"/>
      <c r="F44" s="30" t="s">
        <v>605</v>
      </c>
      <c r="G44" s="30" t="s">
        <v>602</v>
      </c>
      <c r="H44" s="30" t="s">
        <v>554</v>
      </c>
      <c r="I44" s="30" t="s">
        <v>486</v>
      </c>
      <c r="J44" s="30"/>
      <c r="K44" s="30"/>
      <c r="L44" s="30"/>
      <c r="M44" s="30"/>
      <c r="N44" s="30"/>
      <c r="O44" s="30"/>
      <c r="P44" s="30"/>
      <c r="Q44" s="30" t="s">
        <v>492</v>
      </c>
      <c r="R44" s="30" t="s">
        <v>606</v>
      </c>
      <c r="S44" s="30" t="s">
        <v>539</v>
      </c>
      <c r="T44" s="270" t="s">
        <v>478</v>
      </c>
      <c r="U44" s="30" t="s">
        <v>491</v>
      </c>
      <c r="V44" s="30"/>
      <c r="W44" s="254"/>
      <c r="X44" s="254"/>
      <c r="Y44" s="254"/>
      <c r="Z44" s="254"/>
      <c r="AA44" s="254"/>
      <c r="AB44" s="254"/>
      <c r="AC44" s="254"/>
      <c r="AD44" s="254"/>
      <c r="AE44" s="254"/>
    </row>
    <row r="45" spans="1:31" ht="16.5" customHeight="1" x14ac:dyDescent="0.25">
      <c r="A45" s="30"/>
      <c r="B45" s="30"/>
      <c r="C45" s="30"/>
      <c r="D45" s="30"/>
      <c r="E45" s="30"/>
      <c r="F45" s="270" t="s">
        <v>603</v>
      </c>
      <c r="G45" s="30" t="s">
        <v>593</v>
      </c>
      <c r="H45" s="30" t="s">
        <v>554</v>
      </c>
      <c r="I45" s="30" t="s">
        <v>486</v>
      </c>
      <c r="J45" s="30" t="s">
        <v>486</v>
      </c>
      <c r="K45" s="30"/>
      <c r="L45" s="30"/>
      <c r="M45" s="30"/>
      <c r="N45" s="30"/>
      <c r="O45" s="30"/>
      <c r="P45" s="30"/>
      <c r="Q45" s="30" t="s">
        <v>492</v>
      </c>
      <c r="R45" s="30" t="s">
        <v>607</v>
      </c>
      <c r="S45" s="30" t="s">
        <v>539</v>
      </c>
      <c r="T45" s="270" t="s">
        <v>478</v>
      </c>
      <c r="U45" s="30" t="s">
        <v>491</v>
      </c>
      <c r="V45" s="30"/>
      <c r="W45" s="254"/>
      <c r="X45" s="254"/>
      <c r="Y45" s="254"/>
      <c r="Z45" s="254"/>
      <c r="AA45" s="254"/>
      <c r="AB45" s="254"/>
      <c r="AC45" s="254"/>
      <c r="AD45" s="254"/>
      <c r="AE45" s="254"/>
    </row>
    <row r="46" spans="1:31" ht="16.5" customHeight="1" x14ac:dyDescent="0.25">
      <c r="A46" s="30"/>
      <c r="B46" s="30"/>
      <c r="C46" s="30"/>
      <c r="D46" s="30"/>
      <c r="E46" s="30"/>
      <c r="F46" s="30" t="s">
        <v>608</v>
      </c>
      <c r="G46" s="30" t="s">
        <v>602</v>
      </c>
      <c r="H46" s="30" t="s">
        <v>554</v>
      </c>
      <c r="I46" s="30" t="s">
        <v>486</v>
      </c>
      <c r="J46" s="30"/>
      <c r="K46" s="30"/>
      <c r="L46" s="30"/>
      <c r="M46" s="30"/>
      <c r="N46" s="30"/>
      <c r="O46" s="30"/>
      <c r="P46" s="30"/>
      <c r="Q46" s="30" t="s">
        <v>492</v>
      </c>
      <c r="R46" s="30" t="s">
        <v>609</v>
      </c>
      <c r="S46" s="30" t="s">
        <v>539</v>
      </c>
      <c r="T46" s="270" t="s">
        <v>478</v>
      </c>
      <c r="U46" s="30" t="s">
        <v>491</v>
      </c>
      <c r="V46" s="30"/>
      <c r="W46" s="254"/>
      <c r="X46" s="254"/>
      <c r="Y46" s="254"/>
      <c r="Z46" s="254"/>
      <c r="AA46" s="254"/>
      <c r="AB46" s="254"/>
      <c r="AC46" s="254"/>
      <c r="AD46" s="254"/>
      <c r="AE46" s="254"/>
    </row>
    <row r="47" spans="1:31" ht="16.5" customHeight="1" x14ac:dyDescent="0.25">
      <c r="A47" s="30"/>
      <c r="B47" s="30"/>
      <c r="C47" s="30"/>
      <c r="D47" s="30"/>
      <c r="E47" s="30"/>
      <c r="F47" s="30" t="s">
        <v>610</v>
      </c>
      <c r="G47" s="30" t="s">
        <v>602</v>
      </c>
      <c r="H47" s="30" t="s">
        <v>554</v>
      </c>
      <c r="I47" s="30" t="s">
        <v>486</v>
      </c>
      <c r="J47" s="30"/>
      <c r="K47" s="30"/>
      <c r="L47" s="30"/>
      <c r="M47" s="30"/>
      <c r="N47" s="30"/>
      <c r="O47" s="30"/>
      <c r="P47" s="30"/>
      <c r="Q47" s="30" t="s">
        <v>492</v>
      </c>
      <c r="R47" s="30" t="s">
        <v>611</v>
      </c>
      <c r="S47" s="30" t="s">
        <v>539</v>
      </c>
      <c r="T47" s="270" t="s">
        <v>478</v>
      </c>
      <c r="U47" s="30" t="s">
        <v>491</v>
      </c>
      <c r="V47" s="30"/>
      <c r="W47" s="254"/>
      <c r="X47" s="254"/>
      <c r="Y47" s="254"/>
      <c r="Z47" s="254"/>
      <c r="AA47" s="254"/>
      <c r="AB47" s="254"/>
      <c r="AC47" s="254"/>
      <c r="AD47" s="254"/>
      <c r="AE47" s="254"/>
    </row>
    <row r="48" spans="1:31" ht="16.5" customHeight="1" x14ac:dyDescent="0.25">
      <c r="A48" s="30"/>
      <c r="B48" s="30"/>
      <c r="C48" s="30"/>
      <c r="D48" s="30"/>
      <c r="E48" s="30"/>
      <c r="F48" s="270" t="s">
        <v>604</v>
      </c>
      <c r="G48" s="30" t="s">
        <v>593</v>
      </c>
      <c r="H48" s="30" t="s">
        <v>556</v>
      </c>
      <c r="I48" s="267" t="s">
        <v>503</v>
      </c>
      <c r="J48" s="30" t="s">
        <v>486</v>
      </c>
      <c r="K48" s="30"/>
      <c r="L48" s="30"/>
      <c r="M48" s="30"/>
      <c r="N48" s="30"/>
      <c r="O48" s="30"/>
      <c r="P48" s="30"/>
      <c r="Q48" s="30" t="s">
        <v>492</v>
      </c>
      <c r="R48" s="270" t="s">
        <v>612</v>
      </c>
      <c r="S48" s="292" t="s">
        <v>489</v>
      </c>
      <c r="T48" s="261" t="s">
        <v>490</v>
      </c>
      <c r="U48" s="30" t="s">
        <v>491</v>
      </c>
      <c r="V48" s="30"/>
      <c r="W48" s="254"/>
      <c r="X48" s="254"/>
      <c r="Y48" s="254"/>
      <c r="Z48" s="254"/>
      <c r="AA48" s="254"/>
      <c r="AB48" s="254"/>
      <c r="AC48" s="254"/>
      <c r="AD48" s="254"/>
      <c r="AE48" s="254"/>
    </row>
    <row r="49" spans="1:30" ht="16.5" customHeight="1" x14ac:dyDescent="0.25">
      <c r="A49" s="30"/>
      <c r="B49" s="30"/>
      <c r="C49" s="30"/>
      <c r="D49" s="30"/>
      <c r="E49" s="30"/>
      <c r="F49" s="270" t="s">
        <v>606</v>
      </c>
      <c r="G49" s="30" t="s">
        <v>593</v>
      </c>
      <c r="H49" s="30" t="s">
        <v>556</v>
      </c>
      <c r="I49" s="267" t="s">
        <v>503</v>
      </c>
      <c r="J49" s="30" t="s">
        <v>486</v>
      </c>
      <c r="K49" s="30"/>
      <c r="L49" s="30"/>
      <c r="M49" s="30"/>
      <c r="N49" s="30"/>
      <c r="O49" s="30"/>
      <c r="P49" s="30"/>
      <c r="Q49" s="30" t="s">
        <v>492</v>
      </c>
      <c r="R49" s="30" t="s">
        <v>613</v>
      </c>
      <c r="S49" s="30" t="s">
        <v>539</v>
      </c>
      <c r="T49" s="270" t="s">
        <v>478</v>
      </c>
      <c r="U49" s="30" t="s">
        <v>491</v>
      </c>
      <c r="V49" s="30"/>
      <c r="W49" s="254"/>
      <c r="X49" s="254"/>
      <c r="Y49" s="254"/>
      <c r="Z49" s="254"/>
      <c r="AA49" s="254"/>
      <c r="AB49" s="254"/>
      <c r="AC49" s="254"/>
      <c r="AD49" s="254"/>
    </row>
    <row r="50" spans="1:30" ht="16.5" customHeight="1" x14ac:dyDescent="0.25">
      <c r="A50" s="30"/>
      <c r="B50" s="30"/>
      <c r="C50" s="30"/>
      <c r="D50" s="30"/>
      <c r="E50" s="30"/>
      <c r="F50" s="270" t="s">
        <v>607</v>
      </c>
      <c r="G50" s="30" t="s">
        <v>593</v>
      </c>
      <c r="H50" s="30" t="s">
        <v>565</v>
      </c>
      <c r="I50" s="267" t="s">
        <v>503</v>
      </c>
      <c r="J50" s="30" t="s">
        <v>486</v>
      </c>
      <c r="K50" s="30"/>
      <c r="L50" s="30"/>
      <c r="M50" s="30"/>
      <c r="N50" s="30"/>
      <c r="O50" s="30"/>
      <c r="P50" s="30"/>
      <c r="Q50" s="30" t="s">
        <v>492</v>
      </c>
      <c r="R50" s="30" t="s">
        <v>614</v>
      </c>
      <c r="S50" s="30" t="s">
        <v>539</v>
      </c>
      <c r="T50" s="270" t="s">
        <v>478</v>
      </c>
      <c r="U50" s="30" t="s">
        <v>491</v>
      </c>
      <c r="V50" s="30"/>
      <c r="W50" s="254"/>
      <c r="X50" s="254"/>
      <c r="Y50" s="254"/>
      <c r="Z50" s="254"/>
      <c r="AA50" s="254"/>
      <c r="AB50" s="254"/>
      <c r="AC50" s="254"/>
      <c r="AD50" s="254"/>
    </row>
    <row r="51" spans="1:30" ht="16.5" customHeight="1" x14ac:dyDescent="0.25">
      <c r="A51" s="30"/>
      <c r="B51" s="30"/>
      <c r="C51" s="30"/>
      <c r="D51" s="30"/>
      <c r="E51" s="30"/>
      <c r="F51" s="270" t="s">
        <v>609</v>
      </c>
      <c r="G51" s="30" t="s">
        <v>593</v>
      </c>
      <c r="H51" s="30" t="s">
        <v>556</v>
      </c>
      <c r="I51" s="30" t="s">
        <v>486</v>
      </c>
      <c r="J51" s="30" t="s">
        <v>486</v>
      </c>
      <c r="K51" s="30"/>
      <c r="L51" s="30"/>
      <c r="M51" s="30"/>
      <c r="N51" s="30"/>
      <c r="O51" s="30"/>
      <c r="P51" s="30"/>
      <c r="Q51" s="30" t="s">
        <v>492</v>
      </c>
      <c r="R51" s="30" t="s">
        <v>615</v>
      </c>
      <c r="S51" s="30" t="s">
        <v>539</v>
      </c>
      <c r="T51" s="270" t="s">
        <v>478</v>
      </c>
      <c r="U51" s="30" t="s">
        <v>491</v>
      </c>
      <c r="V51" s="30"/>
      <c r="W51" s="254"/>
      <c r="Z51" s="254"/>
      <c r="AA51" s="254"/>
    </row>
    <row r="52" spans="1:30" ht="16.5" customHeight="1" x14ac:dyDescent="0.25">
      <c r="A52" s="30"/>
      <c r="B52" s="30"/>
      <c r="C52" s="30"/>
      <c r="D52" s="30"/>
      <c r="E52" s="30"/>
      <c r="F52" s="270" t="s">
        <v>611</v>
      </c>
      <c r="G52" s="30" t="s">
        <v>593</v>
      </c>
      <c r="H52" s="30" t="s">
        <v>556</v>
      </c>
      <c r="I52" s="267" t="s">
        <v>503</v>
      </c>
      <c r="J52" s="30" t="s">
        <v>486</v>
      </c>
      <c r="K52" s="30"/>
      <c r="L52" s="30"/>
      <c r="M52" s="30"/>
      <c r="N52" s="30"/>
      <c r="O52" s="30"/>
      <c r="P52" s="30"/>
      <c r="Q52" s="30" t="s">
        <v>492</v>
      </c>
      <c r="R52" s="30" t="s">
        <v>616</v>
      </c>
      <c r="S52" s="30" t="s">
        <v>539</v>
      </c>
      <c r="T52" s="270" t="s">
        <v>478</v>
      </c>
      <c r="U52" s="30" t="s">
        <v>491</v>
      </c>
      <c r="V52" s="30"/>
      <c r="W52" s="254"/>
      <c r="X52" s="254"/>
      <c r="Y52" s="254"/>
      <c r="Z52" s="254"/>
      <c r="AA52" s="254"/>
    </row>
    <row r="53" spans="1:30" ht="16.5" customHeight="1" x14ac:dyDescent="0.25">
      <c r="A53" s="30"/>
      <c r="B53" s="30"/>
      <c r="C53" s="30"/>
      <c r="D53" s="30"/>
      <c r="E53" s="30"/>
      <c r="F53" s="270" t="s">
        <v>612</v>
      </c>
      <c r="G53" s="270" t="s">
        <v>593</v>
      </c>
      <c r="H53" s="270" t="s">
        <v>554</v>
      </c>
      <c r="I53" s="30" t="s">
        <v>486</v>
      </c>
      <c r="J53" s="30" t="s">
        <v>486</v>
      </c>
      <c r="K53" s="30"/>
      <c r="L53" s="30"/>
      <c r="M53" s="30"/>
      <c r="N53" s="30"/>
      <c r="O53" s="30"/>
      <c r="P53" s="30"/>
      <c r="Q53" s="30" t="s">
        <v>492</v>
      </c>
      <c r="R53" s="30" t="s">
        <v>392</v>
      </c>
      <c r="S53" s="30" t="s">
        <v>539</v>
      </c>
      <c r="T53" s="270" t="s">
        <v>478</v>
      </c>
      <c r="U53" s="30" t="s">
        <v>491</v>
      </c>
      <c r="V53" s="30"/>
      <c r="W53" s="254"/>
      <c r="X53" s="254"/>
      <c r="Y53" s="254"/>
      <c r="Z53" s="254" t="s">
        <v>143</v>
      </c>
      <c r="AA53" s="254"/>
    </row>
    <row r="54" spans="1:30" ht="16.5" customHeight="1" x14ac:dyDescent="0.25">
      <c r="A54" s="30"/>
      <c r="B54" s="30"/>
      <c r="C54" s="30"/>
      <c r="D54" s="30"/>
      <c r="E54" s="30"/>
      <c r="F54" s="270" t="s">
        <v>613</v>
      </c>
      <c r="G54" s="30" t="s">
        <v>593</v>
      </c>
      <c r="H54" s="30" t="s">
        <v>544</v>
      </c>
      <c r="I54" s="267" t="s">
        <v>503</v>
      </c>
      <c r="J54" s="30" t="s">
        <v>486</v>
      </c>
      <c r="K54" s="30"/>
      <c r="L54" s="30"/>
      <c r="M54" s="30"/>
      <c r="N54" s="30"/>
      <c r="O54" s="30"/>
      <c r="P54" s="30"/>
      <c r="Q54" s="30" t="s">
        <v>492</v>
      </c>
      <c r="R54" s="30" t="s">
        <v>393</v>
      </c>
      <c r="S54" s="30" t="s">
        <v>539</v>
      </c>
      <c r="T54" s="270" t="s">
        <v>478</v>
      </c>
      <c r="U54" s="30" t="s">
        <v>491</v>
      </c>
      <c r="V54" s="30"/>
      <c r="W54" s="254"/>
      <c r="X54" s="254"/>
      <c r="Y54" s="254"/>
      <c r="Z54" s="254" t="s">
        <v>143</v>
      </c>
      <c r="AA54" s="254"/>
    </row>
    <row r="55" spans="1:30" ht="16.5" customHeight="1" x14ac:dyDescent="0.25">
      <c r="A55" s="30"/>
      <c r="B55" s="30"/>
      <c r="C55" s="30"/>
      <c r="D55" s="30"/>
      <c r="E55" s="30"/>
      <c r="F55" s="30" t="s">
        <v>614</v>
      </c>
      <c r="G55" s="30" t="s">
        <v>593</v>
      </c>
      <c r="H55" s="30" t="s">
        <v>494</v>
      </c>
      <c r="I55" s="267" t="s">
        <v>503</v>
      </c>
      <c r="J55" s="30"/>
      <c r="K55" s="30"/>
      <c r="L55" s="30"/>
      <c r="M55" s="30"/>
      <c r="N55" s="30"/>
      <c r="O55" s="30"/>
      <c r="P55" s="30"/>
      <c r="Q55" s="30" t="s">
        <v>492</v>
      </c>
      <c r="R55" s="30" t="s">
        <v>394</v>
      </c>
      <c r="S55" s="30" t="s">
        <v>539</v>
      </c>
      <c r="T55" s="270" t="s">
        <v>478</v>
      </c>
      <c r="U55" s="30" t="s">
        <v>491</v>
      </c>
      <c r="V55" s="30"/>
      <c r="W55" s="254"/>
      <c r="X55" s="254"/>
      <c r="Y55" s="254"/>
      <c r="Z55" s="254" t="s">
        <v>143</v>
      </c>
      <c r="AA55" s="254"/>
    </row>
    <row r="56" spans="1:30" ht="16.5" customHeight="1" x14ac:dyDescent="0.25">
      <c r="A56" s="30"/>
      <c r="B56" s="30"/>
      <c r="C56" s="30"/>
      <c r="D56" s="30"/>
      <c r="E56" s="30"/>
      <c r="F56" s="30" t="s">
        <v>615</v>
      </c>
      <c r="G56" s="30" t="s">
        <v>593</v>
      </c>
      <c r="H56" s="30" t="s">
        <v>552</v>
      </c>
      <c r="I56" s="267" t="s">
        <v>503</v>
      </c>
      <c r="J56" s="30"/>
      <c r="K56" s="30"/>
      <c r="L56" s="30"/>
      <c r="M56" s="30"/>
      <c r="N56" s="30"/>
      <c r="O56" s="30"/>
      <c r="P56" s="30"/>
      <c r="Q56" s="30" t="s">
        <v>492</v>
      </c>
      <c r="R56" s="30" t="s">
        <v>618</v>
      </c>
      <c r="S56" s="30" t="s">
        <v>539</v>
      </c>
      <c r="T56" s="270" t="s">
        <v>478</v>
      </c>
      <c r="U56" s="30" t="s">
        <v>491</v>
      </c>
      <c r="V56" s="30"/>
      <c r="W56" s="254"/>
      <c r="X56" s="254"/>
      <c r="Y56" s="254"/>
      <c r="Z56" s="254" t="s">
        <v>143</v>
      </c>
    </row>
    <row r="57" spans="1:30" ht="16.5" customHeight="1" x14ac:dyDescent="0.25">
      <c r="A57" s="30"/>
      <c r="B57" s="30"/>
      <c r="C57" s="30"/>
      <c r="D57" s="30"/>
      <c r="E57" s="30"/>
      <c r="F57" s="270" t="s">
        <v>616</v>
      </c>
      <c r="G57" s="30" t="s">
        <v>593</v>
      </c>
      <c r="H57" s="30" t="s">
        <v>556</v>
      </c>
      <c r="I57" s="267" t="s">
        <v>503</v>
      </c>
      <c r="J57" s="30" t="s">
        <v>486</v>
      </c>
      <c r="K57" s="30"/>
      <c r="L57" s="30"/>
      <c r="M57" s="30"/>
      <c r="N57" s="30"/>
      <c r="O57" s="30"/>
      <c r="P57" s="30"/>
      <c r="Q57" s="30" t="s">
        <v>492</v>
      </c>
      <c r="R57" s="30" t="s">
        <v>619</v>
      </c>
      <c r="S57" s="30" t="s">
        <v>489</v>
      </c>
      <c r="T57" s="261" t="s">
        <v>490</v>
      </c>
      <c r="U57" s="30" t="s">
        <v>491</v>
      </c>
      <c r="V57" s="30"/>
      <c r="W57" s="254"/>
      <c r="X57" s="254"/>
      <c r="Y57" s="254"/>
      <c r="Z57" s="254" t="s">
        <v>143</v>
      </c>
      <c r="AA57" s="254"/>
    </row>
    <row r="58" spans="1:30" ht="16.5" customHeight="1" x14ac:dyDescent="0.25">
      <c r="A58" s="30"/>
      <c r="B58" s="30"/>
      <c r="C58" s="30"/>
      <c r="D58" s="30"/>
      <c r="E58" s="30"/>
      <c r="F58" s="270" t="s">
        <v>392</v>
      </c>
      <c r="G58" s="30" t="s">
        <v>576</v>
      </c>
      <c r="H58" s="30" t="s">
        <v>538</v>
      </c>
      <c r="I58" s="267" t="s">
        <v>503</v>
      </c>
      <c r="J58" s="30" t="s">
        <v>486</v>
      </c>
      <c r="K58" s="30"/>
      <c r="L58" s="30"/>
      <c r="M58" s="30"/>
      <c r="N58" s="30"/>
      <c r="O58" s="30"/>
      <c r="P58" s="30"/>
      <c r="Q58" s="30" t="s">
        <v>492</v>
      </c>
      <c r="R58" s="30" t="s">
        <v>620</v>
      </c>
      <c r="S58" s="30" t="s">
        <v>621</v>
      </c>
      <c r="T58" s="270" t="s">
        <v>478</v>
      </c>
      <c r="U58" s="30" t="s">
        <v>491</v>
      </c>
      <c r="V58" s="30"/>
      <c r="W58" s="254"/>
      <c r="X58" s="254"/>
      <c r="Y58" s="254"/>
      <c r="Z58" s="254" t="s">
        <v>143</v>
      </c>
      <c r="AA58" s="254"/>
    </row>
    <row r="59" spans="1:30" ht="16.5" customHeight="1" x14ac:dyDescent="0.25">
      <c r="A59" s="30"/>
      <c r="B59" s="30"/>
      <c r="C59" s="30"/>
      <c r="D59" s="30"/>
      <c r="E59" s="30"/>
      <c r="F59" s="270" t="s">
        <v>393</v>
      </c>
      <c r="G59" s="30" t="s">
        <v>576</v>
      </c>
      <c r="H59" s="30" t="s">
        <v>547</v>
      </c>
      <c r="I59" s="267" t="s">
        <v>503</v>
      </c>
      <c r="J59" s="30" t="s">
        <v>486</v>
      </c>
      <c r="K59" s="30"/>
      <c r="L59" s="30"/>
      <c r="M59" s="30"/>
      <c r="N59" s="30"/>
      <c r="O59" s="30"/>
      <c r="P59" s="30"/>
      <c r="Q59" s="30" t="s">
        <v>492</v>
      </c>
      <c r="R59" s="285" t="s">
        <v>622</v>
      </c>
      <c r="S59" s="30" t="s">
        <v>539</v>
      </c>
      <c r="T59" s="270" t="s">
        <v>478</v>
      </c>
      <c r="U59" s="30" t="s">
        <v>491</v>
      </c>
      <c r="V59" s="30"/>
      <c r="W59" s="254"/>
      <c r="X59" s="254"/>
      <c r="Y59" s="254"/>
      <c r="Z59" s="254" t="s">
        <v>143</v>
      </c>
      <c r="AA59" s="254"/>
    </row>
    <row r="60" spans="1:30" ht="16.5" customHeight="1" x14ac:dyDescent="0.25">
      <c r="A60" s="30"/>
      <c r="B60" s="30"/>
      <c r="C60" s="30"/>
      <c r="D60" s="30"/>
      <c r="E60" s="30"/>
      <c r="F60" s="30" t="s">
        <v>394</v>
      </c>
      <c r="G60" s="30" t="s">
        <v>576</v>
      </c>
      <c r="H60" s="30" t="s">
        <v>119</v>
      </c>
      <c r="I60" s="267" t="s">
        <v>503</v>
      </c>
      <c r="J60" s="30"/>
      <c r="K60" s="30"/>
      <c r="L60" s="30"/>
      <c r="M60" s="30"/>
      <c r="N60" s="30"/>
      <c r="O60" s="30"/>
      <c r="P60" s="30"/>
      <c r="Q60" s="30" t="s">
        <v>492</v>
      </c>
      <c r="R60" s="30" t="s">
        <v>399</v>
      </c>
      <c r="S60" s="30" t="s">
        <v>539</v>
      </c>
      <c r="T60" s="270" t="s">
        <v>478</v>
      </c>
      <c r="U60" s="30" t="s">
        <v>491</v>
      </c>
      <c r="V60" s="30"/>
      <c r="W60" s="254"/>
      <c r="X60" s="254"/>
      <c r="Y60" s="254"/>
      <c r="Z60" s="254" t="s">
        <v>617</v>
      </c>
      <c r="AA60" s="254"/>
    </row>
    <row r="61" spans="1:30" ht="16.5" customHeight="1" x14ac:dyDescent="0.25">
      <c r="A61" s="30"/>
      <c r="B61" s="30"/>
      <c r="C61" s="30"/>
      <c r="D61" s="30"/>
      <c r="E61" s="30"/>
      <c r="F61" s="270" t="s">
        <v>618</v>
      </c>
      <c r="G61" s="30" t="s">
        <v>593</v>
      </c>
      <c r="H61" s="30" t="s">
        <v>554</v>
      </c>
      <c r="I61" s="267" t="s">
        <v>503</v>
      </c>
      <c r="J61" s="30" t="s">
        <v>486</v>
      </c>
      <c r="K61" s="30"/>
      <c r="L61" s="30"/>
      <c r="M61" s="30"/>
      <c r="N61" s="30"/>
      <c r="O61" s="30"/>
      <c r="P61" s="30"/>
      <c r="Q61" s="30" t="s">
        <v>492</v>
      </c>
      <c r="R61" s="30" t="s">
        <v>400</v>
      </c>
      <c r="S61" s="30" t="s">
        <v>539</v>
      </c>
      <c r="T61" s="270" t="s">
        <v>478</v>
      </c>
      <c r="U61" s="30" t="s">
        <v>491</v>
      </c>
      <c r="V61" s="30"/>
      <c r="W61" s="254"/>
      <c r="X61" s="254"/>
      <c r="Y61" s="254"/>
      <c r="Z61" s="254"/>
      <c r="AA61" s="254"/>
    </row>
    <row r="62" spans="1:30" ht="16.5" customHeight="1" x14ac:dyDescent="0.25">
      <c r="A62" s="30"/>
      <c r="B62" s="30"/>
      <c r="C62" s="30"/>
      <c r="D62" s="30"/>
      <c r="E62" s="30"/>
      <c r="F62" s="270" t="s">
        <v>619</v>
      </c>
      <c r="G62" s="30" t="s">
        <v>623</v>
      </c>
      <c r="H62" s="30" t="s">
        <v>544</v>
      </c>
      <c r="I62" s="30" t="s">
        <v>486</v>
      </c>
      <c r="J62" s="30" t="s">
        <v>486</v>
      </c>
      <c r="K62" s="30"/>
      <c r="L62" s="30"/>
      <c r="M62" s="30"/>
      <c r="N62" s="30"/>
      <c r="O62" s="30"/>
      <c r="P62" s="30"/>
      <c r="Q62" s="30" t="s">
        <v>492</v>
      </c>
      <c r="R62" s="30" t="s">
        <v>624</v>
      </c>
      <c r="S62" s="293" t="s">
        <v>621</v>
      </c>
      <c r="T62" s="270" t="s">
        <v>478</v>
      </c>
      <c r="U62" s="30" t="s">
        <v>491</v>
      </c>
      <c r="V62" s="30"/>
      <c r="W62" s="254"/>
      <c r="X62" s="254"/>
      <c r="Y62" s="254"/>
      <c r="Z62" s="254"/>
      <c r="AA62" s="254"/>
    </row>
    <row r="63" spans="1:30" ht="16.5" customHeight="1" x14ac:dyDescent="0.25">
      <c r="A63" s="30"/>
      <c r="B63" s="30"/>
      <c r="C63" s="30"/>
      <c r="D63" s="30"/>
      <c r="E63" s="30"/>
      <c r="F63" s="30" t="s">
        <v>620</v>
      </c>
      <c r="G63" s="30" t="s">
        <v>625</v>
      </c>
      <c r="H63" s="30" t="s">
        <v>538</v>
      </c>
      <c r="I63" s="30" t="s">
        <v>486</v>
      </c>
      <c r="J63" s="30"/>
      <c r="K63" s="30"/>
      <c r="L63" s="30"/>
      <c r="M63" s="30"/>
      <c r="N63" s="30"/>
      <c r="O63" s="30"/>
      <c r="P63" s="30"/>
      <c r="Q63" s="30" t="s">
        <v>492</v>
      </c>
      <c r="R63" s="30" t="s">
        <v>402</v>
      </c>
      <c r="S63" s="30" t="s">
        <v>621</v>
      </c>
      <c r="T63" s="270" t="s">
        <v>478</v>
      </c>
      <c r="U63" s="30" t="s">
        <v>491</v>
      </c>
      <c r="V63" s="30"/>
      <c r="W63" s="254"/>
      <c r="X63" s="254"/>
      <c r="Y63" s="254"/>
      <c r="Z63" s="254"/>
      <c r="AA63" s="254"/>
    </row>
    <row r="64" spans="1:30" ht="16.5" customHeight="1" x14ac:dyDescent="0.25">
      <c r="A64" s="30"/>
      <c r="B64" s="30"/>
      <c r="C64" s="30"/>
      <c r="D64" s="30"/>
      <c r="E64" s="30"/>
      <c r="F64" s="30" t="s">
        <v>622</v>
      </c>
      <c r="G64" s="30" t="s">
        <v>625</v>
      </c>
      <c r="H64" s="30" t="s">
        <v>556</v>
      </c>
      <c r="I64" s="30" t="s">
        <v>486</v>
      </c>
      <c r="J64" s="30"/>
      <c r="K64" s="30"/>
      <c r="L64" s="30"/>
      <c r="M64" s="30"/>
      <c r="N64" s="30"/>
      <c r="O64" s="30"/>
      <c r="P64" s="30"/>
      <c r="Q64" s="30" t="s">
        <v>492</v>
      </c>
      <c r="R64" s="30" t="s">
        <v>403</v>
      </c>
      <c r="S64" s="30" t="s">
        <v>539</v>
      </c>
      <c r="T64" s="270" t="s">
        <v>478</v>
      </c>
      <c r="U64" s="30" t="s">
        <v>491</v>
      </c>
      <c r="V64" s="30"/>
      <c r="W64" s="254"/>
      <c r="X64" s="254"/>
      <c r="Y64" s="254"/>
      <c r="Z64" s="254"/>
      <c r="AA64" s="254"/>
    </row>
    <row r="65" spans="1:27" ht="16.5" customHeight="1" x14ac:dyDescent="0.25">
      <c r="A65" s="30"/>
      <c r="B65" s="30"/>
      <c r="C65" s="30"/>
      <c r="D65" s="30"/>
      <c r="E65" s="30"/>
      <c r="F65" s="30" t="s">
        <v>399</v>
      </c>
      <c r="G65" s="30" t="s">
        <v>625</v>
      </c>
      <c r="H65" s="30" t="s">
        <v>547</v>
      </c>
      <c r="I65" s="30" t="s">
        <v>486</v>
      </c>
      <c r="J65" s="30"/>
      <c r="K65" s="30"/>
      <c r="L65" s="30"/>
      <c r="M65" s="30"/>
      <c r="N65" s="30"/>
      <c r="O65" s="30"/>
      <c r="P65" s="30"/>
      <c r="Q65" s="30" t="s">
        <v>492</v>
      </c>
      <c r="R65" s="30" t="s">
        <v>626</v>
      </c>
      <c r="S65" s="30" t="s">
        <v>539</v>
      </c>
      <c r="T65" s="270" t="s">
        <v>478</v>
      </c>
      <c r="U65" s="30" t="s">
        <v>491</v>
      </c>
      <c r="V65" s="30"/>
      <c r="W65" s="254"/>
      <c r="X65" s="254"/>
      <c r="Y65" s="254"/>
      <c r="Z65" s="254"/>
      <c r="AA65" s="254"/>
    </row>
    <row r="66" spans="1:27" ht="16.5" customHeight="1" x14ac:dyDescent="0.25">
      <c r="A66" s="30"/>
      <c r="B66" s="30"/>
      <c r="C66" s="30"/>
      <c r="D66" s="30"/>
      <c r="E66" s="30"/>
      <c r="F66" s="30" t="s">
        <v>400</v>
      </c>
      <c r="G66" s="30" t="s">
        <v>625</v>
      </c>
      <c r="H66" s="30" t="s">
        <v>554</v>
      </c>
      <c r="I66" s="30" t="s">
        <v>486</v>
      </c>
      <c r="J66" s="30"/>
      <c r="K66" s="30"/>
      <c r="L66" s="30"/>
      <c r="M66" s="30"/>
      <c r="N66" s="30"/>
      <c r="O66" s="30"/>
      <c r="P66" s="30"/>
      <c r="Q66" s="30" t="s">
        <v>492</v>
      </c>
      <c r="R66" s="30" t="s">
        <v>120</v>
      </c>
      <c r="S66" s="30" t="s">
        <v>627</v>
      </c>
      <c r="T66" s="270" t="s">
        <v>628</v>
      </c>
      <c r="U66" s="30" t="s">
        <v>507</v>
      </c>
      <c r="V66" s="30"/>
      <c r="W66" s="254"/>
      <c r="X66" s="254"/>
      <c r="Y66" s="254"/>
      <c r="Z66" s="254"/>
      <c r="AA66" s="254"/>
    </row>
    <row r="67" spans="1:27" ht="16.5" customHeight="1" x14ac:dyDescent="0.25">
      <c r="A67" s="30"/>
      <c r="B67" s="30"/>
      <c r="C67" s="30"/>
      <c r="D67" s="30"/>
      <c r="E67" s="30"/>
      <c r="F67" s="30" t="s">
        <v>624</v>
      </c>
      <c r="G67" s="30" t="s">
        <v>597</v>
      </c>
      <c r="H67" s="30" t="s">
        <v>119</v>
      </c>
      <c r="I67" s="30" t="s">
        <v>486</v>
      </c>
      <c r="J67" s="30"/>
      <c r="K67" s="30"/>
      <c r="L67" s="30"/>
      <c r="M67" s="30"/>
      <c r="N67" s="30"/>
      <c r="O67" s="30"/>
      <c r="P67" s="30"/>
      <c r="Q67" s="30" t="s">
        <v>492</v>
      </c>
      <c r="R67" s="30" t="s">
        <v>629</v>
      </c>
      <c r="S67" s="30" t="s">
        <v>489</v>
      </c>
      <c r="T67" s="261" t="s">
        <v>490</v>
      </c>
      <c r="U67" s="30" t="s">
        <v>491</v>
      </c>
      <c r="V67" s="30"/>
      <c r="W67" s="254"/>
      <c r="X67" s="254"/>
      <c r="Y67" t="s">
        <v>483</v>
      </c>
      <c r="Z67" t="s">
        <v>143</v>
      </c>
      <c r="AA67" t="s">
        <v>490</v>
      </c>
    </row>
    <row r="68" spans="1:27" ht="16.5" customHeight="1" x14ac:dyDescent="0.25">
      <c r="A68" s="30"/>
      <c r="B68" s="30"/>
      <c r="C68" s="30"/>
      <c r="D68" s="30"/>
      <c r="E68" s="30"/>
      <c r="F68" s="30" t="s">
        <v>402</v>
      </c>
      <c r="G68" s="30" t="s">
        <v>625</v>
      </c>
      <c r="H68" s="30" t="s">
        <v>119</v>
      </c>
      <c r="I68" s="30" t="s">
        <v>486</v>
      </c>
      <c r="J68" s="30"/>
      <c r="K68" s="30"/>
      <c r="L68" s="30"/>
      <c r="M68" s="30"/>
      <c r="N68" s="30"/>
      <c r="O68" s="30"/>
      <c r="P68" s="30"/>
      <c r="Q68" s="30" t="s">
        <v>492</v>
      </c>
      <c r="R68" s="30" t="s">
        <v>405</v>
      </c>
      <c r="S68" s="30" t="s">
        <v>627</v>
      </c>
      <c r="T68" s="270" t="s">
        <v>628</v>
      </c>
      <c r="U68" s="30" t="s">
        <v>507</v>
      </c>
      <c r="V68" s="30"/>
      <c r="W68" s="254"/>
      <c r="X68" s="254"/>
      <c r="Y68" s="294" t="s">
        <v>501</v>
      </c>
      <c r="Z68" s="295" t="s">
        <v>143</v>
      </c>
      <c r="AA68" s="296" t="s">
        <v>506</v>
      </c>
    </row>
    <row r="69" spans="1:27" ht="16.5" customHeight="1" x14ac:dyDescent="0.25">
      <c r="A69" s="30"/>
      <c r="B69" s="30"/>
      <c r="C69" s="30"/>
      <c r="D69" s="30"/>
      <c r="E69" s="30"/>
      <c r="F69" s="30" t="s">
        <v>403</v>
      </c>
      <c r="G69" s="30" t="s">
        <v>625</v>
      </c>
      <c r="H69" s="30" t="s">
        <v>547</v>
      </c>
      <c r="I69" s="30" t="s">
        <v>486</v>
      </c>
      <c r="J69" s="30"/>
      <c r="K69" s="30"/>
      <c r="L69" s="30"/>
      <c r="M69" s="30"/>
      <c r="N69" s="30"/>
      <c r="O69" s="30"/>
      <c r="P69" s="30"/>
      <c r="Q69" s="30" t="s">
        <v>492</v>
      </c>
      <c r="R69" s="30" t="s">
        <v>406</v>
      </c>
      <c r="S69" s="30" t="s">
        <v>627</v>
      </c>
      <c r="T69" s="30" t="s">
        <v>481</v>
      </c>
      <c r="U69" s="30" t="s">
        <v>507</v>
      </c>
      <c r="V69" s="30"/>
      <c r="W69" s="254"/>
      <c r="X69" s="254"/>
      <c r="Y69" s="279" t="s">
        <v>543</v>
      </c>
      <c r="Z69" s="297" t="s">
        <v>143</v>
      </c>
      <c r="AA69" s="296" t="s">
        <v>478</v>
      </c>
    </row>
    <row r="70" spans="1:27" ht="16.5" customHeight="1" x14ac:dyDescent="0.25">
      <c r="A70" s="30"/>
      <c r="B70" s="30"/>
      <c r="C70" s="30"/>
      <c r="D70" s="30"/>
      <c r="E70" s="30"/>
      <c r="F70" s="298" t="s">
        <v>626</v>
      </c>
      <c r="G70" s="30" t="s">
        <v>630</v>
      </c>
      <c r="H70" s="30" t="s">
        <v>547</v>
      </c>
      <c r="I70" s="30" t="s">
        <v>486</v>
      </c>
      <c r="J70" s="30"/>
      <c r="K70" s="30"/>
      <c r="L70" s="30"/>
      <c r="M70" s="30"/>
      <c r="N70" s="30"/>
      <c r="O70" s="30"/>
      <c r="P70" s="30"/>
      <c r="Q70" s="30" t="s">
        <v>492</v>
      </c>
      <c r="R70" s="30" t="s">
        <v>631</v>
      </c>
      <c r="S70" s="30" t="s">
        <v>489</v>
      </c>
      <c r="T70" s="261" t="s">
        <v>490</v>
      </c>
      <c r="U70" s="30" t="s">
        <v>491</v>
      </c>
      <c r="V70" s="30"/>
      <c r="W70" s="254"/>
      <c r="X70" s="254"/>
      <c r="Y70" s="279" t="s">
        <v>562</v>
      </c>
      <c r="Z70" s="297" t="s">
        <v>143</v>
      </c>
      <c r="AA70" s="296" t="s">
        <v>514</v>
      </c>
    </row>
    <row r="71" spans="1:27" ht="16.5" customHeight="1" x14ac:dyDescent="0.25">
      <c r="A71" s="30"/>
      <c r="B71" s="30"/>
      <c r="C71" s="30"/>
      <c r="D71" s="30"/>
      <c r="E71" s="30"/>
      <c r="F71" s="30" t="s">
        <v>120</v>
      </c>
      <c r="G71" s="30" t="s">
        <v>632</v>
      </c>
      <c r="H71" s="30" t="s">
        <v>119</v>
      </c>
      <c r="I71" s="30" t="s">
        <v>486</v>
      </c>
      <c r="J71" s="30"/>
      <c r="K71" s="30"/>
      <c r="L71" s="30"/>
      <c r="M71" s="30"/>
      <c r="N71" s="30"/>
      <c r="O71" s="30"/>
      <c r="P71" s="30"/>
      <c r="Q71" s="30" t="s">
        <v>492</v>
      </c>
      <c r="R71" s="30" t="s">
        <v>408</v>
      </c>
      <c r="S71" s="30" t="s">
        <v>633</v>
      </c>
      <c r="T71" s="270" t="s">
        <v>478</v>
      </c>
      <c r="U71" s="30" t="s">
        <v>491</v>
      </c>
      <c r="V71" s="30"/>
      <c r="W71" s="254"/>
      <c r="X71" s="254"/>
      <c r="Y71" t="s">
        <v>412</v>
      </c>
      <c r="Z71" t="s">
        <v>143</v>
      </c>
      <c r="AA71" t="s">
        <v>479</v>
      </c>
    </row>
    <row r="72" spans="1:27" ht="16.5" customHeight="1" x14ac:dyDescent="0.25">
      <c r="A72" s="30"/>
      <c r="B72" s="30"/>
      <c r="C72" s="30"/>
      <c r="D72" s="30"/>
      <c r="E72" s="30"/>
      <c r="F72" s="30" t="s">
        <v>629</v>
      </c>
      <c r="G72" s="30" t="s">
        <v>484</v>
      </c>
      <c r="H72" s="30" t="s">
        <v>527</v>
      </c>
      <c r="I72" s="30" t="s">
        <v>486</v>
      </c>
      <c r="J72" s="30"/>
      <c r="K72" s="30"/>
      <c r="L72" s="30"/>
      <c r="M72" s="30"/>
      <c r="N72" s="30"/>
      <c r="O72" s="30"/>
      <c r="P72" s="30"/>
      <c r="Q72" s="30" t="s">
        <v>492</v>
      </c>
      <c r="R72" s="30" t="s">
        <v>409</v>
      </c>
      <c r="S72" s="30" t="s">
        <v>633</v>
      </c>
      <c r="T72" s="270" t="s">
        <v>478</v>
      </c>
      <c r="U72" s="30" t="s">
        <v>491</v>
      </c>
      <c r="V72" s="30"/>
      <c r="W72" s="254"/>
      <c r="X72" s="254"/>
      <c r="Y72" s="254" t="s">
        <v>415</v>
      </c>
      <c r="Z72" s="254" t="s">
        <v>143</v>
      </c>
      <c r="AA72" s="280" t="s">
        <v>480</v>
      </c>
    </row>
    <row r="73" spans="1:27" ht="16.5" customHeight="1" x14ac:dyDescent="0.25">
      <c r="A73" s="30"/>
      <c r="B73" s="30"/>
      <c r="C73" s="30"/>
      <c r="D73" s="30"/>
      <c r="E73" s="30"/>
      <c r="F73" s="30" t="s">
        <v>405</v>
      </c>
      <c r="G73" s="30" t="s">
        <v>625</v>
      </c>
      <c r="H73" s="30" t="s">
        <v>547</v>
      </c>
      <c r="I73" s="30" t="s">
        <v>486</v>
      </c>
      <c r="J73" s="30"/>
      <c r="K73" s="30"/>
      <c r="L73" s="30"/>
      <c r="M73" s="30"/>
      <c r="N73" s="30"/>
      <c r="O73" s="30"/>
      <c r="P73" s="30"/>
      <c r="Q73" s="30" t="s">
        <v>492</v>
      </c>
      <c r="R73" s="30" t="s">
        <v>410</v>
      </c>
      <c r="S73" s="30" t="s">
        <v>633</v>
      </c>
      <c r="T73" s="270" t="s">
        <v>478</v>
      </c>
      <c r="U73" s="30" t="s">
        <v>491</v>
      </c>
      <c r="V73" s="30"/>
      <c r="W73" s="254"/>
      <c r="X73" s="254"/>
      <c r="Y73" s="254" t="s">
        <v>430</v>
      </c>
      <c r="Z73" s="254" t="s">
        <v>143</v>
      </c>
      <c r="AA73" s="280" t="s">
        <v>628</v>
      </c>
    </row>
    <row r="74" spans="1:27" ht="16.5" customHeight="1" x14ac:dyDescent="0.25">
      <c r="A74" s="30"/>
      <c r="B74" s="30"/>
      <c r="C74" s="30"/>
      <c r="D74" s="30"/>
      <c r="E74" s="30"/>
      <c r="F74" s="30" t="s">
        <v>406</v>
      </c>
      <c r="G74" s="30" t="s">
        <v>602</v>
      </c>
      <c r="H74" s="30" t="s">
        <v>552</v>
      </c>
      <c r="I74" s="30" t="s">
        <v>486</v>
      </c>
      <c r="J74" s="30"/>
      <c r="K74" s="30"/>
      <c r="L74" s="30"/>
      <c r="M74" s="30"/>
      <c r="N74" s="30"/>
      <c r="O74" s="30"/>
      <c r="P74" s="30"/>
      <c r="Q74" s="30" t="s">
        <v>492</v>
      </c>
      <c r="R74" s="30" t="s">
        <v>411</v>
      </c>
      <c r="S74" s="30" t="s">
        <v>633</v>
      </c>
      <c r="T74" s="270" t="s">
        <v>478</v>
      </c>
      <c r="U74" s="30" t="s">
        <v>491</v>
      </c>
      <c r="V74" s="30"/>
      <c r="W74" s="254"/>
      <c r="X74" s="254"/>
      <c r="Y74" t="s">
        <v>406</v>
      </c>
      <c r="Z74" t="s">
        <v>143</v>
      </c>
      <c r="AA74" t="s">
        <v>481</v>
      </c>
    </row>
    <row r="75" spans="1:27" ht="16.5" customHeight="1" x14ac:dyDescent="0.25">
      <c r="A75" s="30"/>
      <c r="B75" s="30"/>
      <c r="C75" s="30"/>
      <c r="D75" s="30"/>
      <c r="E75" s="30"/>
      <c r="F75" s="30" t="s">
        <v>631</v>
      </c>
      <c r="G75" s="30" t="s">
        <v>484</v>
      </c>
      <c r="H75" s="30" t="s">
        <v>532</v>
      </c>
      <c r="I75" s="30" t="s">
        <v>486</v>
      </c>
      <c r="J75" s="30"/>
      <c r="K75" s="30"/>
      <c r="L75" s="30"/>
      <c r="M75" s="30"/>
      <c r="N75" s="30"/>
      <c r="O75" s="30"/>
      <c r="P75" s="30"/>
      <c r="Q75" s="30" t="s">
        <v>492</v>
      </c>
      <c r="R75" s="285" t="s">
        <v>412</v>
      </c>
      <c r="S75" s="30" t="s">
        <v>627</v>
      </c>
      <c r="T75" s="270" t="s">
        <v>479</v>
      </c>
      <c r="U75" s="30" t="s">
        <v>491</v>
      </c>
      <c r="V75" s="30"/>
      <c r="W75" s="254"/>
      <c r="X75" s="254"/>
      <c r="Y75" s="254"/>
      <c r="Z75" s="254"/>
      <c r="AA75" s="254"/>
    </row>
    <row r="76" spans="1:27" ht="24" customHeight="1" x14ac:dyDescent="0.25">
      <c r="A76" s="30"/>
      <c r="B76" s="30"/>
      <c r="C76" s="30"/>
      <c r="D76" s="30"/>
      <c r="E76" s="30"/>
      <c r="F76" s="30" t="s">
        <v>408</v>
      </c>
      <c r="G76" s="30" t="s">
        <v>634</v>
      </c>
      <c r="H76" s="30" t="s">
        <v>482</v>
      </c>
      <c r="I76" s="30" t="s">
        <v>486</v>
      </c>
      <c r="J76" s="30"/>
      <c r="K76" s="30"/>
      <c r="L76" s="30"/>
      <c r="M76" s="30"/>
      <c r="N76" s="30"/>
      <c r="O76" s="30"/>
      <c r="P76" s="30"/>
      <c r="Q76" s="30" t="s">
        <v>492</v>
      </c>
      <c r="R76" s="30" t="s">
        <v>635</v>
      </c>
      <c r="S76" s="293" t="s">
        <v>636</v>
      </c>
      <c r="T76" s="270" t="s">
        <v>478</v>
      </c>
      <c r="U76" s="30" t="s">
        <v>491</v>
      </c>
      <c r="V76" s="30"/>
      <c r="W76" s="254"/>
      <c r="X76" s="254"/>
      <c r="Y76" s="254"/>
      <c r="Z76" s="254"/>
      <c r="AA76" s="254"/>
    </row>
    <row r="77" spans="1:27" ht="16.5" customHeight="1" x14ac:dyDescent="0.25">
      <c r="A77" s="30"/>
      <c r="B77" s="30"/>
      <c r="C77" s="30"/>
      <c r="D77" s="30"/>
      <c r="E77" s="30"/>
      <c r="F77" s="30" t="s">
        <v>409</v>
      </c>
      <c r="G77" s="30" t="s">
        <v>634</v>
      </c>
      <c r="H77" s="30" t="s">
        <v>482</v>
      </c>
      <c r="I77" s="30" t="s">
        <v>486</v>
      </c>
      <c r="J77" s="30"/>
      <c r="K77" s="30"/>
      <c r="L77" s="30"/>
      <c r="M77" s="30"/>
      <c r="N77" s="30"/>
      <c r="O77" s="30"/>
      <c r="P77" s="30"/>
      <c r="Q77" s="30" t="s">
        <v>492</v>
      </c>
      <c r="R77" s="30" t="s">
        <v>637</v>
      </c>
      <c r="S77" s="30" t="s">
        <v>638</v>
      </c>
      <c r="T77" s="270" t="s">
        <v>514</v>
      </c>
      <c r="U77" s="30" t="s">
        <v>507</v>
      </c>
      <c r="V77" s="30"/>
      <c r="W77" s="254"/>
      <c r="X77" s="254"/>
      <c r="Y77" s="254"/>
      <c r="Z77" s="254"/>
      <c r="AA77" s="254"/>
    </row>
    <row r="78" spans="1:27" ht="16.5" customHeight="1" x14ac:dyDescent="0.25">
      <c r="A78" s="30"/>
      <c r="B78" s="30"/>
      <c r="C78" s="30"/>
      <c r="D78" s="30"/>
      <c r="E78" s="30"/>
      <c r="F78" s="30" t="s">
        <v>410</v>
      </c>
      <c r="G78" s="30" t="s">
        <v>634</v>
      </c>
      <c r="H78" s="30" t="s">
        <v>482</v>
      </c>
      <c r="I78" s="30" t="s">
        <v>486</v>
      </c>
      <c r="J78" s="30"/>
      <c r="K78" s="30"/>
      <c r="L78" s="30"/>
      <c r="M78" s="30"/>
      <c r="N78" s="30"/>
      <c r="O78" s="30"/>
      <c r="P78" s="30"/>
      <c r="Q78" s="30" t="s">
        <v>492</v>
      </c>
      <c r="R78" s="30" t="s">
        <v>415</v>
      </c>
      <c r="S78" s="30" t="s">
        <v>627</v>
      </c>
      <c r="T78" s="270" t="s">
        <v>480</v>
      </c>
      <c r="U78" s="30" t="s">
        <v>507</v>
      </c>
      <c r="V78" s="30"/>
      <c r="W78" s="254"/>
      <c r="X78" s="254"/>
      <c r="Y78" s="254"/>
      <c r="Z78" s="254"/>
      <c r="AA78" s="254"/>
    </row>
    <row r="79" spans="1:27" ht="16.5" customHeight="1" x14ac:dyDescent="0.25">
      <c r="A79" s="30"/>
      <c r="B79" s="30"/>
      <c r="C79" s="30"/>
      <c r="D79" s="30"/>
      <c r="E79" s="30"/>
      <c r="F79" s="30" t="s">
        <v>411</v>
      </c>
      <c r="G79" s="30" t="s">
        <v>634</v>
      </c>
      <c r="H79" s="30" t="s">
        <v>482</v>
      </c>
      <c r="I79" s="30" t="s">
        <v>486</v>
      </c>
      <c r="J79" s="30"/>
      <c r="K79" s="30"/>
      <c r="L79" s="30"/>
      <c r="M79" s="30"/>
      <c r="N79" s="30"/>
      <c r="O79" s="30"/>
      <c r="P79" s="30"/>
      <c r="Q79" s="30" t="s">
        <v>492</v>
      </c>
      <c r="R79" s="30" t="s">
        <v>639</v>
      </c>
      <c r="S79" s="30" t="s">
        <v>489</v>
      </c>
      <c r="T79" s="261" t="s">
        <v>490</v>
      </c>
      <c r="U79" s="30" t="s">
        <v>491</v>
      </c>
      <c r="V79" s="30"/>
      <c r="W79" s="254"/>
      <c r="X79" s="254"/>
      <c r="Y79" s="254"/>
      <c r="Z79" s="254"/>
      <c r="AA79" s="254"/>
    </row>
    <row r="80" spans="1:27" ht="16.5" customHeight="1" x14ac:dyDescent="0.25">
      <c r="A80" s="30"/>
      <c r="B80" s="30"/>
      <c r="C80" s="30"/>
      <c r="D80" s="30"/>
      <c r="E80" s="30"/>
      <c r="F80" s="30" t="s">
        <v>412</v>
      </c>
      <c r="G80" s="30" t="s">
        <v>630</v>
      </c>
      <c r="H80" s="30" t="s">
        <v>482</v>
      </c>
      <c r="I80" s="30" t="s">
        <v>486</v>
      </c>
      <c r="J80" s="30"/>
      <c r="K80" s="30"/>
      <c r="L80" s="30"/>
      <c r="M80" s="30"/>
      <c r="N80" s="30"/>
      <c r="O80" s="30"/>
      <c r="P80" s="30"/>
      <c r="Q80" s="30" t="s">
        <v>492</v>
      </c>
      <c r="R80" s="282" t="s">
        <v>640</v>
      </c>
      <c r="S80" s="30" t="s">
        <v>539</v>
      </c>
      <c r="T80" s="270" t="s">
        <v>514</v>
      </c>
      <c r="U80" s="30" t="s">
        <v>507</v>
      </c>
      <c r="V80" s="30"/>
      <c r="W80" s="254"/>
      <c r="X80" s="254"/>
      <c r="Y80" s="254"/>
      <c r="Z80" s="254"/>
      <c r="AA80" s="254"/>
    </row>
    <row r="81" spans="1:27" ht="16.5" customHeight="1" x14ac:dyDescent="0.25">
      <c r="A81" s="30"/>
      <c r="B81" s="30"/>
      <c r="C81" s="30"/>
      <c r="D81" s="30"/>
      <c r="E81" s="30"/>
      <c r="F81" s="30" t="s">
        <v>635</v>
      </c>
      <c r="G81" s="30" t="s">
        <v>593</v>
      </c>
      <c r="H81" s="30" t="s">
        <v>482</v>
      </c>
      <c r="I81" s="30" t="s">
        <v>486</v>
      </c>
      <c r="J81" s="30"/>
      <c r="K81" s="30"/>
      <c r="L81" s="30"/>
      <c r="M81" s="30"/>
      <c r="N81" s="30"/>
      <c r="O81" s="30"/>
      <c r="P81" s="30"/>
      <c r="Q81" s="30" t="s">
        <v>492</v>
      </c>
      <c r="R81" s="30" t="s">
        <v>418</v>
      </c>
      <c r="S81" s="30" t="s">
        <v>489</v>
      </c>
      <c r="T81" s="261" t="s">
        <v>490</v>
      </c>
      <c r="U81" s="30" t="s">
        <v>491</v>
      </c>
      <c r="V81" s="30"/>
      <c r="W81" s="254"/>
      <c r="X81" s="254"/>
      <c r="Y81" s="254"/>
      <c r="Z81" s="254"/>
      <c r="AA81" s="254"/>
    </row>
    <row r="82" spans="1:27" ht="16.5" customHeight="1" x14ac:dyDescent="0.25">
      <c r="A82" s="30"/>
      <c r="B82" s="30"/>
      <c r="C82" s="30"/>
      <c r="D82" s="30"/>
      <c r="E82" s="30"/>
      <c r="F82" s="30" t="s">
        <v>637</v>
      </c>
      <c r="G82" s="30" t="s">
        <v>630</v>
      </c>
      <c r="H82" s="30" t="s">
        <v>482</v>
      </c>
      <c r="I82" s="267" t="s">
        <v>503</v>
      </c>
      <c r="J82" s="30"/>
      <c r="K82" s="30"/>
      <c r="L82" s="30"/>
      <c r="M82" s="30"/>
      <c r="N82" s="30"/>
      <c r="O82" s="30"/>
      <c r="P82" s="30"/>
      <c r="Q82" s="30" t="s">
        <v>492</v>
      </c>
      <c r="R82" s="30" t="s">
        <v>641</v>
      </c>
      <c r="S82" s="30" t="s">
        <v>627</v>
      </c>
      <c r="T82" s="30" t="s">
        <v>481</v>
      </c>
      <c r="U82" s="30" t="s">
        <v>507</v>
      </c>
      <c r="V82" s="30"/>
      <c r="W82" s="254"/>
      <c r="X82" s="254"/>
      <c r="Y82" s="254"/>
      <c r="Z82" s="254"/>
      <c r="AA82" s="254"/>
    </row>
    <row r="83" spans="1:27" ht="16.5" customHeight="1" x14ac:dyDescent="0.25">
      <c r="A83" s="30"/>
      <c r="B83" s="30"/>
      <c r="C83" s="30"/>
      <c r="D83" s="30"/>
      <c r="E83" s="30"/>
      <c r="F83" s="30" t="s">
        <v>415</v>
      </c>
      <c r="G83" s="30" t="s">
        <v>597</v>
      </c>
      <c r="H83" s="30" t="s">
        <v>119</v>
      </c>
      <c r="I83" s="30" t="s">
        <v>486</v>
      </c>
      <c r="J83" s="30"/>
      <c r="K83" s="30"/>
      <c r="L83" s="30"/>
      <c r="M83" s="30"/>
      <c r="N83" s="30"/>
      <c r="O83" s="30"/>
      <c r="P83" s="30"/>
      <c r="Q83" s="30" t="s">
        <v>492</v>
      </c>
      <c r="R83" s="30" t="s">
        <v>642</v>
      </c>
      <c r="S83" s="30" t="s">
        <v>489</v>
      </c>
      <c r="T83" s="261" t="s">
        <v>490</v>
      </c>
      <c r="U83" s="30" t="s">
        <v>491</v>
      </c>
      <c r="V83" s="30"/>
      <c r="W83" s="254"/>
      <c r="X83" s="254"/>
      <c r="Y83" s="254"/>
      <c r="Z83" s="254"/>
      <c r="AA83" s="254"/>
    </row>
    <row r="84" spans="1:27" ht="16.5" customHeight="1" x14ac:dyDescent="0.25">
      <c r="A84" s="30"/>
      <c r="B84" s="30"/>
      <c r="C84" s="30"/>
      <c r="D84" s="30"/>
      <c r="E84" s="30"/>
      <c r="F84" s="30" t="s">
        <v>639</v>
      </c>
      <c r="G84" s="30" t="s">
        <v>484</v>
      </c>
      <c r="H84" s="30" t="s">
        <v>536</v>
      </c>
      <c r="I84" s="30" t="s">
        <v>486</v>
      </c>
      <c r="J84" s="30"/>
      <c r="K84" s="30"/>
      <c r="L84" s="30"/>
      <c r="M84" s="30"/>
      <c r="N84" s="30"/>
      <c r="O84" s="30"/>
      <c r="P84" s="30"/>
      <c r="Q84" s="30" t="s">
        <v>492</v>
      </c>
      <c r="R84" s="30" t="s">
        <v>643</v>
      </c>
      <c r="S84" s="30" t="s">
        <v>489</v>
      </c>
      <c r="T84" s="261" t="s">
        <v>490</v>
      </c>
      <c r="U84" s="30" t="s">
        <v>491</v>
      </c>
      <c r="V84" s="30"/>
      <c r="W84" s="254"/>
      <c r="X84" s="254"/>
      <c r="Y84" s="254"/>
      <c r="Z84" s="254"/>
      <c r="AA84" s="254"/>
    </row>
    <row r="85" spans="1:27" ht="16.5" customHeight="1" x14ac:dyDescent="0.25">
      <c r="A85" s="30"/>
      <c r="B85" s="30"/>
      <c r="C85" s="30"/>
      <c r="D85" s="30"/>
      <c r="E85" s="30"/>
      <c r="F85" s="281" t="s">
        <v>640</v>
      </c>
      <c r="G85" s="30" t="s">
        <v>595</v>
      </c>
      <c r="H85" s="30" t="s">
        <v>554</v>
      </c>
      <c r="I85" s="267" t="s">
        <v>503</v>
      </c>
      <c r="J85" s="30"/>
      <c r="K85" s="30"/>
      <c r="L85" s="30"/>
      <c r="M85" s="30"/>
      <c r="N85" s="30"/>
      <c r="O85" s="30"/>
      <c r="P85" s="30"/>
      <c r="Q85" s="30" t="s">
        <v>492</v>
      </c>
      <c r="R85" s="30" t="s">
        <v>422</v>
      </c>
      <c r="S85" s="30" t="s">
        <v>627</v>
      </c>
      <c r="T85" s="270" t="s">
        <v>480</v>
      </c>
      <c r="U85" s="30" t="s">
        <v>507</v>
      </c>
      <c r="V85" s="30"/>
      <c r="W85" s="254"/>
      <c r="X85" s="254"/>
      <c r="Y85" s="254"/>
      <c r="Z85" s="254"/>
      <c r="AA85" s="254"/>
    </row>
    <row r="86" spans="1:27" ht="16.5" customHeight="1" x14ac:dyDescent="0.25">
      <c r="A86" s="30"/>
      <c r="B86" s="30"/>
      <c r="C86" s="30"/>
      <c r="D86" s="30"/>
      <c r="E86" s="30"/>
      <c r="F86" s="30" t="s">
        <v>418</v>
      </c>
      <c r="G86" s="30" t="s">
        <v>511</v>
      </c>
      <c r="H86" s="30" t="s">
        <v>544</v>
      </c>
      <c r="I86" s="267" t="s">
        <v>503</v>
      </c>
      <c r="J86" s="30"/>
      <c r="K86" s="30"/>
      <c r="L86" s="30"/>
      <c r="M86" s="30"/>
      <c r="N86" s="30"/>
      <c r="O86" s="30"/>
      <c r="P86" s="30"/>
      <c r="Q86" s="30" t="s">
        <v>492</v>
      </c>
      <c r="R86" s="30" t="s">
        <v>423</v>
      </c>
      <c r="S86" s="30" t="s">
        <v>627</v>
      </c>
      <c r="T86" s="270" t="s">
        <v>628</v>
      </c>
      <c r="U86" s="30" t="s">
        <v>507</v>
      </c>
      <c r="V86" s="30"/>
      <c r="W86" s="254"/>
      <c r="X86" s="254"/>
      <c r="Y86" s="254"/>
      <c r="Z86" s="254"/>
      <c r="AA86" s="254"/>
    </row>
    <row r="87" spans="1:27" ht="16.5" customHeight="1" x14ac:dyDescent="0.25">
      <c r="A87" s="30"/>
      <c r="B87" s="30"/>
      <c r="C87" s="30"/>
      <c r="D87" s="30"/>
      <c r="E87" s="30"/>
      <c r="F87" s="30" t="s">
        <v>641</v>
      </c>
      <c r="G87" s="30" t="s">
        <v>602</v>
      </c>
      <c r="H87" s="30" t="s">
        <v>538</v>
      </c>
      <c r="I87" s="30" t="s">
        <v>486</v>
      </c>
      <c r="J87" s="30"/>
      <c r="K87" s="30"/>
      <c r="L87" s="30"/>
      <c r="M87" s="30"/>
      <c r="N87" s="30"/>
      <c r="O87" s="30"/>
      <c r="P87" s="30"/>
      <c r="Q87" s="30" t="s">
        <v>492</v>
      </c>
      <c r="R87" s="30" t="s">
        <v>424</v>
      </c>
      <c r="S87" s="30" t="s">
        <v>627</v>
      </c>
      <c r="T87" s="270" t="s">
        <v>480</v>
      </c>
      <c r="U87" s="30" t="s">
        <v>507</v>
      </c>
      <c r="V87" s="30"/>
      <c r="W87" s="254"/>
      <c r="X87" s="254"/>
      <c r="Y87" s="254"/>
      <c r="Z87" s="254"/>
      <c r="AA87" s="254"/>
    </row>
    <row r="88" spans="1:27" ht="16.5" customHeight="1" x14ac:dyDescent="0.35">
      <c r="A88" s="30"/>
      <c r="B88" s="30"/>
      <c r="C88" s="30"/>
      <c r="D88" s="30"/>
      <c r="E88" s="30"/>
      <c r="F88" s="30" t="s">
        <v>642</v>
      </c>
      <c r="G88" s="30" t="s">
        <v>484</v>
      </c>
      <c r="H88" s="30" t="s">
        <v>542</v>
      </c>
      <c r="I88" s="30" t="s">
        <v>486</v>
      </c>
      <c r="J88" s="30"/>
      <c r="K88" s="30"/>
      <c r="L88" s="30"/>
      <c r="M88" s="30"/>
      <c r="N88" s="30"/>
      <c r="O88" s="30"/>
      <c r="P88" s="30"/>
      <c r="Q88" s="30" t="s">
        <v>492</v>
      </c>
      <c r="R88" s="30" t="s">
        <v>425</v>
      </c>
      <c r="S88" s="30" t="s">
        <v>627</v>
      </c>
      <c r="T88" s="270" t="s">
        <v>628</v>
      </c>
      <c r="U88" s="30" t="s">
        <v>507</v>
      </c>
      <c r="V88" s="30"/>
      <c r="W88" s="299"/>
      <c r="X88" s="299"/>
      <c r="Y88" s="299"/>
      <c r="Z88" s="299"/>
      <c r="AA88" s="299"/>
    </row>
    <row r="89" spans="1:27" ht="16.5" customHeight="1" x14ac:dyDescent="0.35">
      <c r="A89" s="30"/>
      <c r="B89" s="30"/>
      <c r="C89" s="30"/>
      <c r="D89" s="30"/>
      <c r="E89" s="30"/>
      <c r="F89" s="30" t="s">
        <v>643</v>
      </c>
      <c r="G89" s="30" t="s">
        <v>484</v>
      </c>
      <c r="H89" s="30" t="s">
        <v>545</v>
      </c>
      <c r="I89" s="30" t="s">
        <v>486</v>
      </c>
      <c r="J89" s="30"/>
      <c r="K89" s="30"/>
      <c r="L89" s="30"/>
      <c r="M89" s="30"/>
      <c r="N89" s="30"/>
      <c r="O89" s="30"/>
      <c r="P89" s="30"/>
      <c r="Q89" s="30" t="s">
        <v>492</v>
      </c>
      <c r="R89" s="30" t="s">
        <v>426</v>
      </c>
      <c r="S89" s="30" t="s">
        <v>627</v>
      </c>
      <c r="T89" s="270" t="s">
        <v>480</v>
      </c>
      <c r="U89" s="30" t="s">
        <v>507</v>
      </c>
      <c r="V89" s="30"/>
      <c r="W89" s="299"/>
      <c r="X89" s="299"/>
      <c r="Y89" s="1674" t="s">
        <v>1775</v>
      </c>
      <c r="Z89" s="299"/>
      <c r="AA89" s="299"/>
    </row>
    <row r="90" spans="1:27" ht="16.5" customHeight="1" x14ac:dyDescent="0.35">
      <c r="A90" s="30"/>
      <c r="B90" s="30"/>
      <c r="C90" s="30"/>
      <c r="D90" s="30"/>
      <c r="E90" s="30"/>
      <c r="F90" s="30" t="s">
        <v>422</v>
      </c>
      <c r="G90" s="30" t="s">
        <v>597</v>
      </c>
      <c r="H90" s="30" t="s">
        <v>119</v>
      </c>
      <c r="I90" s="30" t="s">
        <v>486</v>
      </c>
      <c r="J90" s="30"/>
      <c r="K90" s="30"/>
      <c r="L90" s="30"/>
      <c r="M90" s="30"/>
      <c r="N90" s="30"/>
      <c r="O90" s="30"/>
      <c r="P90" s="30"/>
      <c r="Q90" s="30" t="s">
        <v>492</v>
      </c>
      <c r="R90" s="30" t="s">
        <v>427</v>
      </c>
      <c r="S90" s="30" t="s">
        <v>627</v>
      </c>
      <c r="T90" s="270" t="s">
        <v>479</v>
      </c>
      <c r="U90" s="30" t="s">
        <v>491</v>
      </c>
      <c r="V90" s="30"/>
      <c r="W90" s="299"/>
      <c r="X90" s="299"/>
      <c r="Y90" s="1673" t="s">
        <v>408</v>
      </c>
      <c r="Z90" s="299"/>
      <c r="AA90" s="299"/>
    </row>
    <row r="91" spans="1:27" ht="16.5" customHeight="1" x14ac:dyDescent="0.25">
      <c r="A91" s="30"/>
      <c r="B91" s="30"/>
      <c r="C91" s="30"/>
      <c r="D91" s="30"/>
      <c r="E91" s="30"/>
      <c r="F91" s="30" t="s">
        <v>423</v>
      </c>
      <c r="G91" s="30" t="s">
        <v>597</v>
      </c>
      <c r="H91" s="30" t="s">
        <v>119</v>
      </c>
      <c r="I91" s="30" t="s">
        <v>486</v>
      </c>
      <c r="J91" s="30"/>
      <c r="K91" s="30"/>
      <c r="L91" s="30"/>
      <c r="M91" s="30"/>
      <c r="N91" s="30"/>
      <c r="O91" s="30"/>
      <c r="P91" s="30"/>
      <c r="Q91" s="30" t="s">
        <v>492</v>
      </c>
      <c r="R91" s="30" t="s">
        <v>428</v>
      </c>
      <c r="S91" s="30" t="s">
        <v>627</v>
      </c>
      <c r="T91" s="270" t="s">
        <v>480</v>
      </c>
      <c r="U91" s="30" t="s">
        <v>507</v>
      </c>
      <c r="V91" s="30"/>
      <c r="Y91" s="1673" t="s">
        <v>409</v>
      </c>
    </row>
    <row r="92" spans="1:27" ht="16.5" customHeight="1" x14ac:dyDescent="0.25">
      <c r="A92" s="30"/>
      <c r="B92" s="30"/>
      <c r="C92" s="30"/>
      <c r="D92" s="30"/>
      <c r="E92" s="30"/>
      <c r="F92" s="30" t="s">
        <v>424</v>
      </c>
      <c r="G92" s="30" t="s">
        <v>597</v>
      </c>
      <c r="H92" s="30" t="s">
        <v>119</v>
      </c>
      <c r="I92" s="30" t="s">
        <v>486</v>
      </c>
      <c r="J92" s="30"/>
      <c r="K92" s="30"/>
      <c r="L92" s="30"/>
      <c r="M92" s="30"/>
      <c r="N92" s="30"/>
      <c r="O92" s="30"/>
      <c r="P92" s="30"/>
      <c r="Q92" s="30" t="s">
        <v>492</v>
      </c>
      <c r="R92" s="30" t="s">
        <v>429</v>
      </c>
      <c r="S92" s="30" t="s">
        <v>627</v>
      </c>
      <c r="T92" s="270" t="s">
        <v>479</v>
      </c>
      <c r="U92" s="30" t="s">
        <v>491</v>
      </c>
      <c r="V92" s="30"/>
      <c r="Y92" s="1673" t="s">
        <v>410</v>
      </c>
    </row>
    <row r="93" spans="1:27" ht="16.5" customHeight="1" x14ac:dyDescent="0.25">
      <c r="A93" s="30"/>
      <c r="B93" s="30"/>
      <c r="C93" s="30"/>
      <c r="D93" s="30"/>
      <c r="E93" s="30"/>
      <c r="F93" s="30" t="s">
        <v>425</v>
      </c>
      <c r="G93" s="30" t="s">
        <v>625</v>
      </c>
      <c r="H93" s="30" t="s">
        <v>119</v>
      </c>
      <c r="I93" s="30" t="s">
        <v>486</v>
      </c>
      <c r="J93" s="30"/>
      <c r="K93" s="30"/>
      <c r="L93" s="30"/>
      <c r="M93" s="30"/>
      <c r="N93" s="30"/>
      <c r="O93" s="30"/>
      <c r="P93" s="30"/>
      <c r="Q93" s="30" t="s">
        <v>492</v>
      </c>
      <c r="R93" s="30" t="s">
        <v>430</v>
      </c>
      <c r="S93" s="30" t="s">
        <v>627</v>
      </c>
      <c r="T93" s="270" t="s">
        <v>628</v>
      </c>
      <c r="U93" s="30" t="s">
        <v>507</v>
      </c>
      <c r="V93" s="30"/>
      <c r="Y93" s="1673" t="s">
        <v>411</v>
      </c>
    </row>
    <row r="94" spans="1:27" ht="16.5" customHeight="1" x14ac:dyDescent="0.25">
      <c r="A94" s="30"/>
      <c r="B94" s="30"/>
      <c r="C94" s="30"/>
      <c r="D94" s="30"/>
      <c r="E94" s="30"/>
      <c r="F94" s="30" t="s">
        <v>426</v>
      </c>
      <c r="G94" s="270" t="s">
        <v>602</v>
      </c>
      <c r="H94" s="30" t="s">
        <v>119</v>
      </c>
      <c r="I94" s="30" t="s">
        <v>486</v>
      </c>
      <c r="J94" s="30"/>
      <c r="K94" s="30"/>
      <c r="L94" s="30"/>
      <c r="M94" s="30"/>
      <c r="N94" s="30"/>
      <c r="O94" s="30"/>
      <c r="P94" s="30"/>
      <c r="Q94" s="30" t="s">
        <v>492</v>
      </c>
      <c r="R94" s="30" t="s">
        <v>431</v>
      </c>
      <c r="S94" s="275" t="s">
        <v>627</v>
      </c>
      <c r="T94" s="270" t="s">
        <v>628</v>
      </c>
      <c r="U94" s="30" t="s">
        <v>507</v>
      </c>
      <c r="V94" s="30"/>
      <c r="Y94" s="1673" t="s">
        <v>635</v>
      </c>
    </row>
    <row r="95" spans="1:27" ht="16.5" customHeight="1" x14ac:dyDescent="0.25">
      <c r="A95" s="30"/>
      <c r="B95" s="30"/>
      <c r="C95" s="30"/>
      <c r="D95" s="30"/>
      <c r="E95" s="30"/>
      <c r="F95" s="30" t="s">
        <v>427</v>
      </c>
      <c r="G95" s="30" t="s">
        <v>597</v>
      </c>
      <c r="H95" s="30" t="s">
        <v>119</v>
      </c>
      <c r="I95" s="30" t="s">
        <v>486</v>
      </c>
      <c r="J95" s="30"/>
      <c r="K95" s="30"/>
      <c r="L95" s="30"/>
      <c r="M95" s="30"/>
      <c r="N95" s="30"/>
      <c r="O95" s="30"/>
      <c r="P95" s="30"/>
      <c r="Q95" s="30" t="s">
        <v>492</v>
      </c>
      <c r="R95" s="30" t="s">
        <v>644</v>
      </c>
      <c r="S95" s="30" t="s">
        <v>489</v>
      </c>
      <c r="T95" s="261" t="s">
        <v>490</v>
      </c>
      <c r="U95" s="30" t="s">
        <v>491</v>
      </c>
      <c r="V95" s="30"/>
    </row>
    <row r="96" spans="1:27" ht="16.5" customHeight="1" x14ac:dyDescent="0.25">
      <c r="A96" s="30"/>
      <c r="B96" s="30"/>
      <c r="C96" s="30"/>
      <c r="D96" s="30"/>
      <c r="E96" s="30"/>
      <c r="F96" s="30" t="s">
        <v>428</v>
      </c>
      <c r="G96" s="30" t="s">
        <v>597</v>
      </c>
      <c r="H96" s="30" t="s">
        <v>119</v>
      </c>
      <c r="I96" s="30" t="s">
        <v>486</v>
      </c>
      <c r="J96" s="30"/>
      <c r="K96" s="30"/>
      <c r="L96" s="30"/>
      <c r="M96" s="30"/>
      <c r="N96" s="30"/>
      <c r="O96" s="30"/>
      <c r="P96" s="30"/>
      <c r="Q96" s="30" t="s">
        <v>492</v>
      </c>
      <c r="R96" s="30" t="s">
        <v>645</v>
      </c>
      <c r="S96" s="30" t="s">
        <v>489</v>
      </c>
      <c r="T96" s="261" t="s">
        <v>490</v>
      </c>
      <c r="U96" s="30" t="s">
        <v>491</v>
      </c>
      <c r="V96" s="30"/>
    </row>
    <row r="97" spans="1:28" ht="16.5" customHeight="1" x14ac:dyDescent="0.25">
      <c r="A97" s="30"/>
      <c r="B97" s="30"/>
      <c r="C97" s="30"/>
      <c r="D97" s="30"/>
      <c r="E97" s="30"/>
      <c r="F97" s="30" t="s">
        <v>429</v>
      </c>
      <c r="G97" s="30" t="s">
        <v>597</v>
      </c>
      <c r="H97" s="30" t="s">
        <v>119</v>
      </c>
      <c r="I97" s="30" t="s">
        <v>486</v>
      </c>
      <c r="J97" s="30"/>
      <c r="K97" s="30"/>
      <c r="L97" s="30"/>
      <c r="M97" s="30"/>
      <c r="N97" s="30"/>
      <c r="O97" s="30"/>
      <c r="P97" s="30"/>
      <c r="Q97" s="30"/>
      <c r="R97" s="30"/>
      <c r="Y97" s="1572" t="s">
        <v>1779</v>
      </c>
      <c r="Z97" t="s">
        <v>1778</v>
      </c>
    </row>
    <row r="98" spans="1:28" ht="16.5" customHeight="1" x14ac:dyDescent="0.25">
      <c r="A98" s="30"/>
      <c r="B98" s="30"/>
      <c r="C98" s="30"/>
      <c r="D98" s="30"/>
      <c r="E98" s="30"/>
      <c r="F98" s="30" t="s">
        <v>430</v>
      </c>
      <c r="G98" s="30" t="s">
        <v>597</v>
      </c>
      <c r="H98" s="30" t="s">
        <v>119</v>
      </c>
      <c r="I98" s="30" t="s">
        <v>486</v>
      </c>
      <c r="J98" s="30"/>
      <c r="K98" s="30"/>
      <c r="L98" s="30"/>
      <c r="M98" s="30"/>
      <c r="N98" s="30"/>
      <c r="O98" s="30"/>
      <c r="P98" s="30"/>
      <c r="Q98" s="30"/>
      <c r="R98" s="30"/>
      <c r="Y98" s="279" t="s">
        <v>120</v>
      </c>
      <c r="Z98" s="297" t="s">
        <v>627</v>
      </c>
    </row>
    <row r="99" spans="1:28" ht="14.25" hidden="1" customHeight="1" x14ac:dyDescent="0.25">
      <c r="F99" s="30"/>
      <c r="G99" s="30"/>
      <c r="H99" s="30"/>
      <c r="W99" s="254"/>
      <c r="X99" s="254"/>
      <c r="Y99" s="294" t="s">
        <v>629</v>
      </c>
      <c r="Z99" s="295" t="s">
        <v>489</v>
      </c>
      <c r="AA99" s="254"/>
      <c r="AB99" s="254"/>
    </row>
    <row r="100" spans="1:28" ht="14.25" customHeight="1" x14ac:dyDescent="0.25">
      <c r="F100" s="30"/>
      <c r="G100" s="30"/>
      <c r="H100" s="30"/>
      <c r="P100" s="1704" t="s">
        <v>1721</v>
      </c>
      <c r="Q100" s="1704"/>
      <c r="R100" s="1704"/>
      <c r="S100" s="1704"/>
      <c r="Y100" s="279" t="s">
        <v>405</v>
      </c>
      <c r="Z100" s="297" t="s">
        <v>627</v>
      </c>
    </row>
    <row r="101" spans="1:28" ht="14.25" customHeight="1" x14ac:dyDescent="0.25">
      <c r="F101" s="30"/>
      <c r="G101" s="30"/>
      <c r="H101" s="30"/>
      <c r="P101" s="1477" t="s">
        <v>1630</v>
      </c>
      <c r="Q101" s="1478" t="s">
        <v>1631</v>
      </c>
      <c r="R101" s="1478" t="s">
        <v>1619</v>
      </c>
      <c r="S101" s="1479" t="s">
        <v>1620</v>
      </c>
      <c r="Y101" s="294" t="s">
        <v>406</v>
      </c>
      <c r="Z101" s="295" t="s">
        <v>627</v>
      </c>
    </row>
    <row r="102" spans="1:28" ht="14.25" hidden="1" customHeight="1" x14ac:dyDescent="0.25">
      <c r="F102" s="30"/>
      <c r="G102" s="30"/>
      <c r="H102" s="30"/>
      <c r="P102" s="1007">
        <v>0</v>
      </c>
      <c r="Q102" s="1008">
        <v>0</v>
      </c>
      <c r="R102" s="996">
        <v>0</v>
      </c>
      <c r="S102" s="997" t="s">
        <v>1621</v>
      </c>
      <c r="Y102" s="279" t="s">
        <v>631</v>
      </c>
      <c r="Z102" s="297" t="s">
        <v>489</v>
      </c>
    </row>
    <row r="103" spans="1:28" ht="14.25" hidden="1" customHeight="1" x14ac:dyDescent="0.25">
      <c r="F103" s="30"/>
      <c r="G103" s="30"/>
      <c r="H103" s="30"/>
      <c r="P103" s="1480">
        <v>0.01</v>
      </c>
      <c r="Q103" s="1481">
        <v>0.24990000000000001</v>
      </c>
      <c r="R103" s="996" t="s">
        <v>1622</v>
      </c>
      <c r="S103" s="998" t="s">
        <v>1623</v>
      </c>
      <c r="Y103" s="294" t="s">
        <v>408</v>
      </c>
      <c r="Z103" s="295" t="s">
        <v>633</v>
      </c>
    </row>
    <row r="104" spans="1:28" ht="14.25" hidden="1" customHeight="1" x14ac:dyDescent="0.25">
      <c r="F104" s="30"/>
      <c r="G104" s="30"/>
      <c r="H104" s="30"/>
      <c r="P104" s="1482">
        <v>0.25</v>
      </c>
      <c r="Q104" s="1481">
        <v>0.49990000000000001</v>
      </c>
      <c r="R104" s="999" t="s">
        <v>1624</v>
      </c>
      <c r="S104" s="1000" t="s">
        <v>1623</v>
      </c>
      <c r="Y104" s="279" t="s">
        <v>409</v>
      </c>
      <c r="Z104" s="297" t="s">
        <v>633</v>
      </c>
    </row>
    <row r="105" spans="1:28" ht="14.25" hidden="1" customHeight="1" x14ac:dyDescent="0.25">
      <c r="F105" s="30"/>
      <c r="G105" s="30"/>
      <c r="H105" s="30"/>
      <c r="P105" s="1483">
        <v>0.5</v>
      </c>
      <c r="Q105" s="1481">
        <v>0.74990000000000001</v>
      </c>
      <c r="R105" s="1001" t="s">
        <v>1625</v>
      </c>
      <c r="S105" s="1002" t="s">
        <v>1626</v>
      </c>
      <c r="Y105" s="294" t="s">
        <v>410</v>
      </c>
      <c r="Z105" s="295" t="s">
        <v>633</v>
      </c>
    </row>
    <row r="106" spans="1:28" ht="14.25" hidden="1" customHeight="1" x14ac:dyDescent="0.25">
      <c r="F106" s="30"/>
      <c r="G106" s="30"/>
      <c r="H106" s="30"/>
      <c r="P106" s="1484">
        <v>0.75</v>
      </c>
      <c r="Q106" s="1481">
        <v>1</v>
      </c>
      <c r="R106" s="1485" t="s">
        <v>1627</v>
      </c>
      <c r="S106" s="1004" t="s">
        <v>1628</v>
      </c>
      <c r="Y106" s="279" t="s">
        <v>411</v>
      </c>
      <c r="Z106" s="297" t="s">
        <v>633</v>
      </c>
    </row>
    <row r="107" spans="1:28" ht="14.25" customHeight="1" x14ac:dyDescent="0.25">
      <c r="F107" s="30"/>
      <c r="G107" s="30" t="s">
        <v>1730</v>
      </c>
      <c r="H107" s="30"/>
      <c r="I107" s="1324" t="s">
        <v>1736</v>
      </c>
      <c r="Y107" s="1688" t="s">
        <v>412</v>
      </c>
      <c r="Z107" s="295" t="s">
        <v>627</v>
      </c>
    </row>
    <row r="108" spans="1:28" ht="14.25" hidden="1" customHeight="1" x14ac:dyDescent="0.25">
      <c r="F108" s="30"/>
      <c r="G108" s="31">
        <v>100</v>
      </c>
      <c r="H108" s="30"/>
      <c r="I108" s="1571">
        <v>1</v>
      </c>
      <c r="Y108" s="279" t="s">
        <v>635</v>
      </c>
      <c r="Z108" s="1689" t="s">
        <v>636</v>
      </c>
    </row>
    <row r="109" spans="1:28" ht="14.25" hidden="1" customHeight="1" x14ac:dyDescent="0.25">
      <c r="F109" s="30"/>
      <c r="G109" s="31">
        <v>99</v>
      </c>
      <c r="H109" s="30"/>
      <c r="I109" s="1571">
        <v>2</v>
      </c>
      <c r="Y109" s="294" t="s">
        <v>637</v>
      </c>
      <c r="Z109" s="295" t="s">
        <v>638</v>
      </c>
    </row>
    <row r="110" spans="1:28" ht="14.25" customHeight="1" x14ac:dyDescent="0.25">
      <c r="F110" s="30"/>
      <c r="G110" s="31">
        <v>98</v>
      </c>
      <c r="H110" s="30"/>
      <c r="I110" s="1571">
        <v>3</v>
      </c>
      <c r="Y110" s="279" t="s">
        <v>415</v>
      </c>
      <c r="Z110" s="297" t="s">
        <v>627</v>
      </c>
    </row>
    <row r="111" spans="1:28" ht="14.25" hidden="1" customHeight="1" x14ac:dyDescent="0.25">
      <c r="F111" s="30"/>
      <c r="G111" s="31">
        <v>97</v>
      </c>
      <c r="H111" s="30"/>
      <c r="I111" s="1571">
        <v>4</v>
      </c>
      <c r="Y111" s="294" t="s">
        <v>639</v>
      </c>
      <c r="Z111" s="295" t="s">
        <v>489</v>
      </c>
    </row>
    <row r="112" spans="1:28" ht="14.25" hidden="1" customHeight="1" x14ac:dyDescent="0.25">
      <c r="F112" s="30"/>
      <c r="G112" s="31">
        <v>96</v>
      </c>
      <c r="H112" s="30"/>
      <c r="I112" s="1571">
        <v>5</v>
      </c>
      <c r="Y112" s="281" t="s">
        <v>640</v>
      </c>
      <c r="Z112" s="297" t="s">
        <v>539</v>
      </c>
    </row>
    <row r="113" spans="6:26" ht="14.25" hidden="1" customHeight="1" x14ac:dyDescent="0.25">
      <c r="F113" s="30"/>
      <c r="G113" s="31">
        <v>95</v>
      </c>
      <c r="H113" s="30"/>
      <c r="I113" s="1571">
        <v>6</v>
      </c>
      <c r="Y113" s="294" t="s">
        <v>418</v>
      </c>
      <c r="Z113" s="295" t="s">
        <v>489</v>
      </c>
    </row>
    <row r="114" spans="6:26" ht="14.25" customHeight="1" x14ac:dyDescent="0.25">
      <c r="F114" s="30"/>
      <c r="G114" s="31">
        <v>94</v>
      </c>
      <c r="H114" s="30"/>
      <c r="I114" s="1571">
        <v>7</v>
      </c>
      <c r="Y114" s="279" t="s">
        <v>641</v>
      </c>
      <c r="Z114" s="297" t="s">
        <v>627</v>
      </c>
    </row>
    <row r="115" spans="6:26" ht="14.25" hidden="1" customHeight="1" x14ac:dyDescent="0.25">
      <c r="F115" s="30"/>
      <c r="G115" s="31">
        <v>93</v>
      </c>
      <c r="H115" s="30"/>
      <c r="I115" s="1571">
        <v>8</v>
      </c>
      <c r="Y115" s="294" t="s">
        <v>642</v>
      </c>
      <c r="Z115" s="295" t="s">
        <v>489</v>
      </c>
    </row>
    <row r="116" spans="6:26" ht="14.25" hidden="1" customHeight="1" x14ac:dyDescent="0.25">
      <c r="F116" s="30"/>
      <c r="G116" s="31">
        <v>92</v>
      </c>
      <c r="H116" s="30"/>
      <c r="I116" s="1571">
        <v>9</v>
      </c>
      <c r="Y116" s="279" t="s">
        <v>643</v>
      </c>
      <c r="Z116" s="297" t="s">
        <v>489</v>
      </c>
    </row>
    <row r="117" spans="6:26" ht="14.25" customHeight="1" x14ac:dyDescent="0.25">
      <c r="F117" s="30"/>
      <c r="G117" s="31">
        <v>91</v>
      </c>
      <c r="H117" s="30"/>
      <c r="I117" s="1571">
        <v>10</v>
      </c>
      <c r="Y117" s="294" t="s">
        <v>422</v>
      </c>
      <c r="Z117" s="295" t="s">
        <v>627</v>
      </c>
    </row>
    <row r="118" spans="6:26" ht="14.25" customHeight="1" x14ac:dyDescent="0.25">
      <c r="F118" s="30"/>
      <c r="G118" s="31">
        <v>90</v>
      </c>
      <c r="H118" s="30"/>
      <c r="I118" s="1571">
        <v>11</v>
      </c>
      <c r="Y118" s="279" t="s">
        <v>423</v>
      </c>
      <c r="Z118" s="297" t="s">
        <v>627</v>
      </c>
    </row>
    <row r="119" spans="6:26" ht="14.25" customHeight="1" x14ac:dyDescent="0.25">
      <c r="F119" s="30"/>
      <c r="G119" s="31">
        <v>89</v>
      </c>
      <c r="H119" s="30"/>
      <c r="I119" s="1571">
        <v>12</v>
      </c>
      <c r="Y119" s="294" t="s">
        <v>424</v>
      </c>
      <c r="Z119" s="295" t="s">
        <v>627</v>
      </c>
    </row>
    <row r="120" spans="6:26" ht="14.25" customHeight="1" x14ac:dyDescent="0.25">
      <c r="F120" s="30"/>
      <c r="G120" s="31">
        <v>88</v>
      </c>
      <c r="H120" s="30"/>
      <c r="I120" s="1571">
        <v>13</v>
      </c>
      <c r="Y120" s="279" t="s">
        <v>425</v>
      </c>
      <c r="Z120" s="297" t="s">
        <v>627</v>
      </c>
    </row>
    <row r="121" spans="6:26" ht="14.25" customHeight="1" x14ac:dyDescent="0.25">
      <c r="F121" s="30"/>
      <c r="G121" s="31">
        <v>87</v>
      </c>
      <c r="H121" s="30"/>
      <c r="I121" s="1571">
        <v>14</v>
      </c>
      <c r="Y121" s="294" t="s">
        <v>426</v>
      </c>
      <c r="Z121" s="295" t="s">
        <v>627</v>
      </c>
    </row>
    <row r="122" spans="6:26" ht="14.25" customHeight="1" x14ac:dyDescent="0.25">
      <c r="F122" s="30"/>
      <c r="G122" s="31">
        <v>86</v>
      </c>
      <c r="H122" s="30"/>
      <c r="I122" s="1571">
        <v>15</v>
      </c>
      <c r="Y122" s="279" t="s">
        <v>427</v>
      </c>
      <c r="Z122" s="297" t="s">
        <v>627</v>
      </c>
    </row>
    <row r="123" spans="6:26" ht="14.25" customHeight="1" x14ac:dyDescent="0.25">
      <c r="F123" s="30"/>
      <c r="G123" s="31">
        <v>85</v>
      </c>
      <c r="H123" s="30"/>
      <c r="I123" s="1571">
        <v>16</v>
      </c>
      <c r="Y123" s="294" t="s">
        <v>428</v>
      </c>
      <c r="Z123" s="295" t="s">
        <v>627</v>
      </c>
    </row>
    <row r="124" spans="6:26" ht="14.25" customHeight="1" x14ac:dyDescent="0.25">
      <c r="F124" s="30"/>
      <c r="G124" s="31">
        <v>84</v>
      </c>
      <c r="H124" s="30"/>
      <c r="I124" s="1571">
        <v>17</v>
      </c>
      <c r="Y124" s="279" t="s">
        <v>429</v>
      </c>
      <c r="Z124" s="297" t="s">
        <v>627</v>
      </c>
    </row>
    <row r="125" spans="6:26" ht="14.25" customHeight="1" x14ac:dyDescent="0.25">
      <c r="F125" s="30"/>
      <c r="G125" s="31">
        <v>83</v>
      </c>
      <c r="H125" s="30"/>
      <c r="I125" s="1571" t="s">
        <v>1393</v>
      </c>
      <c r="Y125" s="294" t="s">
        <v>430</v>
      </c>
      <c r="Z125" s="295" t="s">
        <v>627</v>
      </c>
    </row>
    <row r="126" spans="6:26" ht="14.25" customHeight="1" x14ac:dyDescent="0.25">
      <c r="F126" s="30"/>
      <c r="G126" s="31">
        <v>82</v>
      </c>
      <c r="H126" s="30"/>
      <c r="Y126" s="279" t="s">
        <v>431</v>
      </c>
      <c r="Z126" s="275" t="s">
        <v>627</v>
      </c>
    </row>
    <row r="127" spans="6:26" ht="14.25" customHeight="1" x14ac:dyDescent="0.25">
      <c r="F127" s="30"/>
      <c r="G127" s="31">
        <v>81</v>
      </c>
      <c r="H127" s="30"/>
    </row>
    <row r="128" spans="6:26" ht="14.25" customHeight="1" x14ac:dyDescent="0.25">
      <c r="F128" s="30"/>
      <c r="G128" s="31">
        <v>80</v>
      </c>
      <c r="H128" s="30"/>
    </row>
    <row r="129" spans="6:8" ht="14.25" customHeight="1" x14ac:dyDescent="0.25">
      <c r="F129" s="30"/>
      <c r="G129" s="31">
        <v>79</v>
      </c>
      <c r="H129" s="30"/>
    </row>
    <row r="130" spans="6:8" ht="14.25" customHeight="1" x14ac:dyDescent="0.25">
      <c r="F130" s="30"/>
      <c r="G130" s="31">
        <v>78</v>
      </c>
      <c r="H130" s="30"/>
    </row>
    <row r="131" spans="6:8" ht="14.25" customHeight="1" x14ac:dyDescent="0.25">
      <c r="F131" s="30"/>
      <c r="G131" s="31">
        <v>77</v>
      </c>
      <c r="H131" s="30"/>
    </row>
    <row r="132" spans="6:8" ht="14.25" customHeight="1" x14ac:dyDescent="0.25">
      <c r="F132" s="30"/>
      <c r="G132" s="31">
        <v>76</v>
      </c>
      <c r="H132" s="30"/>
    </row>
    <row r="133" spans="6:8" ht="14.25" customHeight="1" x14ac:dyDescent="0.25">
      <c r="F133" s="30"/>
      <c r="G133" s="31">
        <v>75</v>
      </c>
      <c r="H133" s="30"/>
    </row>
    <row r="134" spans="6:8" ht="14.25" customHeight="1" x14ac:dyDescent="0.25">
      <c r="F134" s="30"/>
      <c r="G134" s="31">
        <v>74</v>
      </c>
      <c r="H134" s="30"/>
    </row>
    <row r="135" spans="6:8" ht="14.25" customHeight="1" x14ac:dyDescent="0.25">
      <c r="F135" s="30"/>
      <c r="G135" s="31">
        <v>73</v>
      </c>
      <c r="H135" s="30"/>
    </row>
    <row r="136" spans="6:8" ht="14.25" customHeight="1" x14ac:dyDescent="0.25">
      <c r="F136" s="30"/>
      <c r="G136" s="31">
        <v>72</v>
      </c>
      <c r="H136" s="30"/>
    </row>
    <row r="137" spans="6:8" ht="14.25" customHeight="1" x14ac:dyDescent="0.25">
      <c r="F137" s="30"/>
      <c r="G137" s="31">
        <v>71</v>
      </c>
      <c r="H137" s="30"/>
    </row>
    <row r="138" spans="6:8" ht="14.25" customHeight="1" x14ac:dyDescent="0.25">
      <c r="F138" s="30"/>
      <c r="G138" s="31">
        <v>70</v>
      </c>
      <c r="H138" s="30"/>
    </row>
    <row r="139" spans="6:8" ht="14.25" customHeight="1" x14ac:dyDescent="0.25">
      <c r="F139" s="30"/>
      <c r="G139" s="31">
        <v>69</v>
      </c>
      <c r="H139" s="30"/>
    </row>
    <row r="140" spans="6:8" ht="14.25" customHeight="1" x14ac:dyDescent="0.25">
      <c r="F140" s="30"/>
      <c r="G140" s="31">
        <v>68</v>
      </c>
      <c r="H140" s="30"/>
    </row>
    <row r="141" spans="6:8" ht="14.25" customHeight="1" x14ac:dyDescent="0.25">
      <c r="F141" s="30"/>
      <c r="G141" s="31">
        <v>67</v>
      </c>
      <c r="H141" s="30"/>
    </row>
    <row r="142" spans="6:8" ht="14.25" customHeight="1" x14ac:dyDescent="0.25">
      <c r="F142" s="30"/>
      <c r="G142" s="31">
        <v>66</v>
      </c>
      <c r="H142" s="30"/>
    </row>
    <row r="143" spans="6:8" ht="14.25" customHeight="1" x14ac:dyDescent="0.25">
      <c r="F143" s="30"/>
      <c r="G143" s="31">
        <v>65</v>
      </c>
      <c r="H143" s="30"/>
    </row>
    <row r="144" spans="6:8" ht="14.25" customHeight="1" x14ac:dyDescent="0.25">
      <c r="F144" s="30"/>
      <c r="G144" s="31">
        <v>64</v>
      </c>
      <c r="H144" s="30"/>
    </row>
    <row r="145" spans="6:8" ht="14.25" customHeight="1" x14ac:dyDescent="0.25">
      <c r="F145" s="30"/>
      <c r="G145" s="31">
        <v>63</v>
      </c>
      <c r="H145" s="30"/>
    </row>
    <row r="146" spans="6:8" ht="14.25" customHeight="1" x14ac:dyDescent="0.25">
      <c r="F146" s="30"/>
      <c r="G146" s="31">
        <v>62</v>
      </c>
      <c r="H146" s="30"/>
    </row>
    <row r="147" spans="6:8" ht="14.25" customHeight="1" x14ac:dyDescent="0.25">
      <c r="F147" s="30"/>
      <c r="G147" s="31">
        <v>61</v>
      </c>
      <c r="H147" s="30"/>
    </row>
    <row r="148" spans="6:8" ht="14.25" customHeight="1" x14ac:dyDescent="0.25">
      <c r="F148" s="30"/>
      <c r="G148" s="31">
        <v>60</v>
      </c>
      <c r="H148" s="30"/>
    </row>
    <row r="149" spans="6:8" ht="14.25" customHeight="1" x14ac:dyDescent="0.25">
      <c r="F149" s="30"/>
      <c r="G149" s="31">
        <v>59</v>
      </c>
      <c r="H149" s="30"/>
    </row>
    <row r="150" spans="6:8" x14ac:dyDescent="0.25">
      <c r="G150" s="31">
        <v>58</v>
      </c>
    </row>
    <row r="151" spans="6:8" x14ac:dyDescent="0.25">
      <c r="G151" s="31">
        <v>57</v>
      </c>
    </row>
    <row r="152" spans="6:8" x14ac:dyDescent="0.25">
      <c r="G152" s="31">
        <v>56</v>
      </c>
    </row>
    <row r="153" spans="6:8" x14ac:dyDescent="0.25">
      <c r="G153" s="31">
        <v>55</v>
      </c>
    </row>
    <row r="154" spans="6:8" x14ac:dyDescent="0.25">
      <c r="G154" s="31">
        <v>54</v>
      </c>
    </row>
    <row r="155" spans="6:8" x14ac:dyDescent="0.25">
      <c r="G155" s="31">
        <v>53</v>
      </c>
    </row>
    <row r="156" spans="6:8" x14ac:dyDescent="0.25">
      <c r="G156" s="31">
        <v>52</v>
      </c>
    </row>
    <row r="157" spans="6:8" x14ac:dyDescent="0.25">
      <c r="G157" s="31">
        <v>51</v>
      </c>
    </row>
    <row r="158" spans="6:8" x14ac:dyDescent="0.25">
      <c r="G158" s="31">
        <v>50</v>
      </c>
    </row>
    <row r="159" spans="6:8" x14ac:dyDescent="0.25">
      <c r="G159" s="31">
        <v>49</v>
      </c>
    </row>
    <row r="160" spans="6:8" x14ac:dyDescent="0.25">
      <c r="G160" s="31">
        <v>48</v>
      </c>
    </row>
    <row r="161" spans="7:7" x14ac:dyDescent="0.25">
      <c r="G161" s="31">
        <v>47</v>
      </c>
    </row>
    <row r="162" spans="7:7" x14ac:dyDescent="0.25">
      <c r="G162" s="31">
        <v>46</v>
      </c>
    </row>
    <row r="163" spans="7:7" x14ac:dyDescent="0.25">
      <c r="G163" s="31">
        <v>45</v>
      </c>
    </row>
    <row r="164" spans="7:7" x14ac:dyDescent="0.25">
      <c r="G164" s="31">
        <v>44</v>
      </c>
    </row>
    <row r="165" spans="7:7" x14ac:dyDescent="0.25">
      <c r="G165" s="31">
        <v>43</v>
      </c>
    </row>
    <row r="166" spans="7:7" x14ac:dyDescent="0.25">
      <c r="G166" s="31">
        <v>42</v>
      </c>
    </row>
    <row r="167" spans="7:7" x14ac:dyDescent="0.25">
      <c r="G167" s="31">
        <v>41</v>
      </c>
    </row>
    <row r="168" spans="7:7" x14ac:dyDescent="0.25">
      <c r="G168" s="31">
        <v>40</v>
      </c>
    </row>
    <row r="169" spans="7:7" x14ac:dyDescent="0.25">
      <c r="G169" s="31">
        <v>39</v>
      </c>
    </row>
    <row r="170" spans="7:7" x14ac:dyDescent="0.25">
      <c r="G170" s="31">
        <v>38</v>
      </c>
    </row>
    <row r="171" spans="7:7" x14ac:dyDescent="0.25">
      <c r="G171" s="31">
        <v>37</v>
      </c>
    </row>
    <row r="172" spans="7:7" x14ac:dyDescent="0.25">
      <c r="G172" s="31">
        <v>36</v>
      </c>
    </row>
    <row r="173" spans="7:7" x14ac:dyDescent="0.25">
      <c r="G173" s="31">
        <v>35</v>
      </c>
    </row>
    <row r="174" spans="7:7" x14ac:dyDescent="0.25">
      <c r="G174" s="31">
        <v>34</v>
      </c>
    </row>
    <row r="175" spans="7:7" x14ac:dyDescent="0.25">
      <c r="G175" s="31">
        <v>33</v>
      </c>
    </row>
    <row r="176" spans="7:7" x14ac:dyDescent="0.25">
      <c r="G176" s="31">
        <v>32</v>
      </c>
    </row>
    <row r="177" spans="7:7" x14ac:dyDescent="0.25">
      <c r="G177" s="31">
        <v>31</v>
      </c>
    </row>
    <row r="178" spans="7:7" x14ac:dyDescent="0.25">
      <c r="G178" s="31">
        <v>30</v>
      </c>
    </row>
    <row r="179" spans="7:7" x14ac:dyDescent="0.25">
      <c r="G179" s="31">
        <v>29</v>
      </c>
    </row>
    <row r="180" spans="7:7" x14ac:dyDescent="0.25">
      <c r="G180" s="31">
        <v>28</v>
      </c>
    </row>
    <row r="181" spans="7:7" x14ac:dyDescent="0.25">
      <c r="G181" s="31">
        <v>27</v>
      </c>
    </row>
    <row r="182" spans="7:7" x14ac:dyDescent="0.25">
      <c r="G182" s="31">
        <v>26</v>
      </c>
    </row>
    <row r="183" spans="7:7" x14ac:dyDescent="0.25">
      <c r="G183" s="31">
        <v>25</v>
      </c>
    </row>
    <row r="184" spans="7:7" x14ac:dyDescent="0.25">
      <c r="G184" s="31">
        <v>24</v>
      </c>
    </row>
    <row r="185" spans="7:7" x14ac:dyDescent="0.25">
      <c r="G185" s="31">
        <v>23</v>
      </c>
    </row>
    <row r="186" spans="7:7" x14ac:dyDescent="0.25">
      <c r="G186" s="31">
        <v>22</v>
      </c>
    </row>
    <row r="187" spans="7:7" x14ac:dyDescent="0.25">
      <c r="G187" s="31">
        <v>21</v>
      </c>
    </row>
    <row r="188" spans="7:7" x14ac:dyDescent="0.25">
      <c r="G188" s="31">
        <v>20</v>
      </c>
    </row>
    <row r="189" spans="7:7" x14ac:dyDescent="0.25">
      <c r="G189" s="31">
        <v>19</v>
      </c>
    </row>
    <row r="190" spans="7:7" x14ac:dyDescent="0.25">
      <c r="G190" s="31">
        <v>18</v>
      </c>
    </row>
    <row r="191" spans="7:7" x14ac:dyDescent="0.25">
      <c r="G191" s="31">
        <v>17</v>
      </c>
    </row>
    <row r="192" spans="7:7" x14ac:dyDescent="0.25">
      <c r="G192" s="31">
        <v>16</v>
      </c>
    </row>
    <row r="193" spans="7:7" x14ac:dyDescent="0.25">
      <c r="G193" s="31">
        <v>15</v>
      </c>
    </row>
    <row r="194" spans="7:7" x14ac:dyDescent="0.25">
      <c r="G194" s="31">
        <v>14</v>
      </c>
    </row>
    <row r="195" spans="7:7" x14ac:dyDescent="0.25">
      <c r="G195" s="31">
        <v>13</v>
      </c>
    </row>
    <row r="196" spans="7:7" x14ac:dyDescent="0.25">
      <c r="G196" s="31">
        <v>12</v>
      </c>
    </row>
    <row r="197" spans="7:7" x14ac:dyDescent="0.25">
      <c r="G197" s="31">
        <v>11</v>
      </c>
    </row>
    <row r="198" spans="7:7" x14ac:dyDescent="0.25">
      <c r="G198" s="31">
        <v>10</v>
      </c>
    </row>
    <row r="199" spans="7:7" x14ac:dyDescent="0.25">
      <c r="G199" s="31">
        <v>9</v>
      </c>
    </row>
    <row r="200" spans="7:7" x14ac:dyDescent="0.25">
      <c r="G200" s="31">
        <v>8</v>
      </c>
    </row>
    <row r="201" spans="7:7" x14ac:dyDescent="0.25">
      <c r="G201" s="31">
        <v>7</v>
      </c>
    </row>
    <row r="202" spans="7:7" x14ac:dyDescent="0.25">
      <c r="G202" s="31">
        <v>6</v>
      </c>
    </row>
    <row r="203" spans="7:7" x14ac:dyDescent="0.25">
      <c r="G203" s="31">
        <v>5</v>
      </c>
    </row>
    <row r="204" spans="7:7" x14ac:dyDescent="0.25">
      <c r="G204" s="31">
        <v>4</v>
      </c>
    </row>
    <row r="205" spans="7:7" x14ac:dyDescent="0.25">
      <c r="G205" s="31">
        <v>3</v>
      </c>
    </row>
    <row r="206" spans="7:7" x14ac:dyDescent="0.25">
      <c r="G206" s="31">
        <v>2</v>
      </c>
    </row>
    <row r="207" spans="7:7" x14ac:dyDescent="0.25">
      <c r="G207" s="31">
        <v>1</v>
      </c>
    </row>
    <row r="208" spans="7:7" x14ac:dyDescent="0.25">
      <c r="G208" s="31">
        <v>0</v>
      </c>
    </row>
  </sheetData>
  <sheetProtection algorithmName="SHA-512" hashValue="oOHEg/X9jhpDEq9gkAJDgjKy6Zc6+Ey0oGGhlEFOYlN67qZYzgwNoc9pC7FoqotCFuRbpJgn6LIrays7doF2kg==" saltValue="OQX2sL6sOmQsBi5pIdedLw==" spinCount="100000" sheet="1" objects="1" scenarios="1"/>
  <autoFilter ref="Y97:Z126" xr:uid="{00000000-0009-0000-0000-000000000000}">
    <filterColumn colId="1">
      <filters>
        <filter val="MIXTA"/>
      </filters>
    </filterColumn>
  </autoFilter>
  <mergeCells count="4">
    <mergeCell ref="L2:L3"/>
    <mergeCell ref="M2:N2"/>
    <mergeCell ref="M7:N7"/>
    <mergeCell ref="P100:S100"/>
  </mergeCells>
  <dataValidations disablePrompts="1" count="1">
    <dataValidation type="list" allowBlank="1" showInputMessage="1" showErrorMessage="1" sqref="Z35" xr:uid="{00000000-0002-0000-0000-000000000000}">
      <formula1>$AG$8:$AG$12</formula1>
    </dataValidation>
  </dataValidations>
  <pageMargins left="0.7" right="0.7" top="0.75" bottom="0.75"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I64"/>
  <sheetViews>
    <sheetView workbookViewId="0">
      <selection activeCell="A24" sqref="A24"/>
    </sheetView>
  </sheetViews>
  <sheetFormatPr baseColWidth="10" defaultColWidth="11.42578125" defaultRowHeight="15" x14ac:dyDescent="0.25"/>
  <cols>
    <col min="1" max="2" width="31.5703125" customWidth="1"/>
    <col min="3" max="3" width="30.7109375" customWidth="1"/>
    <col min="4" max="4" width="32.28515625" style="391" customWidth="1"/>
    <col min="5" max="5" width="5.85546875" customWidth="1"/>
    <col min="6" max="6" width="31.140625" customWidth="1"/>
    <col min="7" max="7" width="37.42578125" customWidth="1"/>
    <col min="8" max="8" width="40.28515625" customWidth="1"/>
    <col min="9" max="9" width="26.85546875" customWidth="1"/>
    <col min="10" max="10" width="20" customWidth="1"/>
    <col min="11" max="11" width="18.42578125" customWidth="1"/>
  </cols>
  <sheetData>
    <row r="2" spans="1:9" ht="30" x14ac:dyDescent="0.25">
      <c r="A2" s="848" t="s">
        <v>1539</v>
      </c>
      <c r="B2" s="849" t="s">
        <v>1540</v>
      </c>
      <c r="C2" s="849" t="s">
        <v>1541</v>
      </c>
      <c r="D2" s="849" t="s">
        <v>1542</v>
      </c>
      <c r="F2" s="850" t="s">
        <v>1539</v>
      </c>
      <c r="G2" s="849" t="s">
        <v>1542</v>
      </c>
      <c r="H2" s="849" t="s">
        <v>1543</v>
      </c>
      <c r="I2" s="849" t="s">
        <v>1544</v>
      </c>
    </row>
    <row r="3" spans="1:9" x14ac:dyDescent="0.25">
      <c r="A3" s="851" t="str">
        <f>+CONCATENATE(B3,C3)</f>
        <v>No RazonableFavorable</v>
      </c>
      <c r="B3" s="852" t="s">
        <v>1545</v>
      </c>
      <c r="C3" s="858" t="s">
        <v>1555</v>
      </c>
      <c r="D3" s="852" t="s">
        <v>1545</v>
      </c>
      <c r="F3" s="854" t="str">
        <f>+CONCATENATE(G3,H3)</f>
        <v>No RazonableNegativa</v>
      </c>
      <c r="G3" s="852" t="s">
        <v>1545</v>
      </c>
      <c r="H3" s="852" t="s">
        <v>535</v>
      </c>
      <c r="I3" s="852" t="s">
        <v>1546</v>
      </c>
    </row>
    <row r="4" spans="1:9" x14ac:dyDescent="0.25">
      <c r="A4" s="851" t="str">
        <f t="shared" ref="A4:A22" si="0">+CONCATENATE(B4,C4)</f>
        <v>No RazonableCon Observaciones</v>
      </c>
      <c r="B4" s="852" t="s">
        <v>1545</v>
      </c>
      <c r="C4" s="855" t="s">
        <v>1556</v>
      </c>
      <c r="D4" s="852" t="s">
        <v>1545</v>
      </c>
      <c r="F4" s="854" t="str">
        <f t="shared" ref="F4:F18" si="1">+CONCATENATE(G4,H4)</f>
        <v>No RazonableAbstención</v>
      </c>
      <c r="G4" s="852" t="s">
        <v>1545</v>
      </c>
      <c r="H4" s="852" t="s">
        <v>541</v>
      </c>
      <c r="I4" s="852" t="s">
        <v>1546</v>
      </c>
    </row>
    <row r="5" spans="1:9" x14ac:dyDescent="0.25">
      <c r="A5" s="851" t="str">
        <f t="shared" si="0"/>
        <v>No RazonableDesfavorable</v>
      </c>
      <c r="B5" s="852" t="s">
        <v>1545</v>
      </c>
      <c r="C5" s="852" t="s">
        <v>1557</v>
      </c>
      <c r="D5" s="852" t="s">
        <v>1545</v>
      </c>
      <c r="F5" s="854" t="str">
        <f t="shared" si="1"/>
        <v>No RazonableCon Salvedades</v>
      </c>
      <c r="G5" s="852" t="s">
        <v>1545</v>
      </c>
      <c r="H5" s="855" t="s">
        <v>531</v>
      </c>
      <c r="I5" s="852" t="s">
        <v>1546</v>
      </c>
    </row>
    <row r="6" spans="1:9" x14ac:dyDescent="0.25">
      <c r="A6" s="851" t="str">
        <f t="shared" si="0"/>
        <v>No RazonableNo Aplica</v>
      </c>
      <c r="B6" s="852" t="s">
        <v>1545</v>
      </c>
      <c r="C6" s="856" t="s">
        <v>1393</v>
      </c>
      <c r="D6" s="852" t="s">
        <v>1545</v>
      </c>
      <c r="F6" s="854" t="str">
        <f t="shared" si="1"/>
        <v>No RazonableLimpia o Sin Salvedades</v>
      </c>
      <c r="G6" s="852" t="s">
        <v>1545</v>
      </c>
      <c r="H6" s="853" t="s">
        <v>526</v>
      </c>
      <c r="I6" s="852" t="s">
        <v>1546</v>
      </c>
    </row>
    <row r="7" spans="1:9" x14ac:dyDescent="0.25">
      <c r="A7" s="851" t="str">
        <f t="shared" si="0"/>
        <v>AbstenciónFavorable</v>
      </c>
      <c r="B7" s="852" t="s">
        <v>541</v>
      </c>
      <c r="C7" s="858" t="s">
        <v>1555</v>
      </c>
      <c r="D7" s="852" t="s">
        <v>541</v>
      </c>
      <c r="F7" s="854" t="str">
        <f t="shared" si="1"/>
        <v>AbstenciónNegativa</v>
      </c>
      <c r="G7" s="852" t="s">
        <v>541</v>
      </c>
      <c r="H7" s="852" t="s">
        <v>535</v>
      </c>
      <c r="I7" s="852" t="s">
        <v>1546</v>
      </c>
    </row>
    <row r="8" spans="1:9" x14ac:dyDescent="0.25">
      <c r="A8" s="851" t="str">
        <f t="shared" si="0"/>
        <v>AbstenciónCon Observaciones</v>
      </c>
      <c r="B8" s="852" t="s">
        <v>541</v>
      </c>
      <c r="C8" s="855" t="s">
        <v>1556</v>
      </c>
      <c r="D8" s="852" t="s">
        <v>541</v>
      </c>
      <c r="F8" s="854" t="str">
        <f t="shared" si="1"/>
        <v>AbstenciónAbstención</v>
      </c>
      <c r="G8" s="852" t="s">
        <v>541</v>
      </c>
      <c r="H8" s="852" t="s">
        <v>541</v>
      </c>
      <c r="I8" s="852" t="s">
        <v>1546</v>
      </c>
    </row>
    <row r="9" spans="1:9" x14ac:dyDescent="0.25">
      <c r="A9" s="851" t="str">
        <f t="shared" si="0"/>
        <v>AbstenciónDesfavorable</v>
      </c>
      <c r="B9" s="852" t="s">
        <v>541</v>
      </c>
      <c r="C9" s="852" t="s">
        <v>1557</v>
      </c>
      <c r="D9" s="852" t="s">
        <v>541</v>
      </c>
      <c r="F9" s="854" t="str">
        <f t="shared" si="1"/>
        <v>AbstenciónCon Salvedades</v>
      </c>
      <c r="G9" s="852" t="s">
        <v>541</v>
      </c>
      <c r="H9" s="855" t="s">
        <v>531</v>
      </c>
      <c r="I9" s="852" t="s">
        <v>1546</v>
      </c>
    </row>
    <row r="10" spans="1:9" x14ac:dyDescent="0.25">
      <c r="A10" s="851" t="str">
        <f t="shared" si="0"/>
        <v>AbstenciónNo Aplica</v>
      </c>
      <c r="B10" s="852" t="s">
        <v>541</v>
      </c>
      <c r="C10" s="856" t="s">
        <v>1393</v>
      </c>
      <c r="D10" s="852" t="s">
        <v>541</v>
      </c>
      <c r="F10" s="854" t="str">
        <f t="shared" si="1"/>
        <v>AbstenciónLimpia o Sin Salvedades</v>
      </c>
      <c r="G10" s="852" t="s">
        <v>541</v>
      </c>
      <c r="H10" s="853" t="s">
        <v>526</v>
      </c>
      <c r="I10" s="852" t="s">
        <v>1546</v>
      </c>
    </row>
    <row r="11" spans="1:9" x14ac:dyDescent="0.25">
      <c r="A11" s="851" t="str">
        <f t="shared" si="0"/>
        <v>Con SalvedadesFavorable</v>
      </c>
      <c r="B11" s="855" t="s">
        <v>531</v>
      </c>
      <c r="C11" s="858" t="s">
        <v>1555</v>
      </c>
      <c r="D11" s="855" t="s">
        <v>531</v>
      </c>
      <c r="F11" s="854" t="str">
        <f t="shared" si="1"/>
        <v>Con SalvedadesNegativa</v>
      </c>
      <c r="G11" s="855" t="s">
        <v>531</v>
      </c>
      <c r="H11" s="852" t="s">
        <v>535</v>
      </c>
      <c r="I11" s="852" t="s">
        <v>1546</v>
      </c>
    </row>
    <row r="12" spans="1:9" x14ac:dyDescent="0.25">
      <c r="A12" s="851" t="str">
        <f t="shared" si="0"/>
        <v>Con SalvedadesCon Observaciones</v>
      </c>
      <c r="B12" s="855" t="s">
        <v>531</v>
      </c>
      <c r="C12" s="855" t="s">
        <v>1556</v>
      </c>
      <c r="D12" s="855" t="s">
        <v>531</v>
      </c>
      <c r="F12" s="854" t="str">
        <f t="shared" si="1"/>
        <v>Con SalvedadesAbstención</v>
      </c>
      <c r="G12" s="855" t="s">
        <v>531</v>
      </c>
      <c r="H12" s="852" t="s">
        <v>541</v>
      </c>
      <c r="I12" s="852" t="s">
        <v>1546</v>
      </c>
    </row>
    <row r="13" spans="1:9" x14ac:dyDescent="0.25">
      <c r="A13" s="851" t="str">
        <f t="shared" si="0"/>
        <v>Con SalvedadesDesfavorable</v>
      </c>
      <c r="B13" s="855" t="s">
        <v>531</v>
      </c>
      <c r="C13" s="852" t="s">
        <v>1557</v>
      </c>
      <c r="D13" s="852" t="s">
        <v>1547</v>
      </c>
      <c r="F13" s="854" t="str">
        <f t="shared" si="1"/>
        <v>Con SalvedadesCon Salvedades</v>
      </c>
      <c r="G13" s="855" t="s">
        <v>531</v>
      </c>
      <c r="H13" s="855" t="s">
        <v>531</v>
      </c>
      <c r="I13" s="857" t="s">
        <v>1548</v>
      </c>
    </row>
    <row r="14" spans="1:9" x14ac:dyDescent="0.25">
      <c r="A14" s="851" t="str">
        <f t="shared" si="0"/>
        <v>Con SalvedadesNo Aplica</v>
      </c>
      <c r="B14" s="855" t="s">
        <v>531</v>
      </c>
      <c r="C14" s="856" t="s">
        <v>1393</v>
      </c>
      <c r="D14" s="855" t="s">
        <v>531</v>
      </c>
      <c r="F14" s="854" t="str">
        <f t="shared" si="1"/>
        <v>Con SalvedadesLimpia o Sin Salvedades</v>
      </c>
      <c r="G14" s="855" t="s">
        <v>531</v>
      </c>
      <c r="H14" s="853" t="s">
        <v>526</v>
      </c>
      <c r="I14" s="857" t="s">
        <v>1548</v>
      </c>
    </row>
    <row r="15" spans="1:9" x14ac:dyDescent="0.25">
      <c r="A15" s="851" t="str">
        <f t="shared" si="0"/>
        <v>RazonableFavorable</v>
      </c>
      <c r="B15" s="858" t="s">
        <v>838</v>
      </c>
      <c r="C15" s="858" t="s">
        <v>1555</v>
      </c>
      <c r="D15" s="858" t="s">
        <v>838</v>
      </c>
      <c r="F15" s="854" t="str">
        <f t="shared" si="1"/>
        <v>RazonableNegativa</v>
      </c>
      <c r="G15" s="853" t="s">
        <v>838</v>
      </c>
      <c r="H15" s="852" t="s">
        <v>535</v>
      </c>
      <c r="I15" s="852" t="s">
        <v>1546</v>
      </c>
    </row>
    <row r="16" spans="1:9" x14ac:dyDescent="0.25">
      <c r="A16" s="851" t="str">
        <f t="shared" si="0"/>
        <v>RazonableCon Observaciones</v>
      </c>
      <c r="B16" s="858" t="s">
        <v>838</v>
      </c>
      <c r="C16" s="855" t="s">
        <v>1556</v>
      </c>
      <c r="D16" s="858" t="s">
        <v>838</v>
      </c>
      <c r="F16" s="854" t="str">
        <f t="shared" si="1"/>
        <v>RazonableAbstención</v>
      </c>
      <c r="G16" s="853" t="s">
        <v>838</v>
      </c>
      <c r="H16" s="852" t="s">
        <v>541</v>
      </c>
      <c r="I16" s="852" t="s">
        <v>1546</v>
      </c>
    </row>
    <row r="17" spans="1:9" x14ac:dyDescent="0.25">
      <c r="A17" s="851" t="str">
        <f t="shared" si="0"/>
        <v>RazonableDesfavorable</v>
      </c>
      <c r="B17" s="858" t="s">
        <v>838</v>
      </c>
      <c r="C17" s="852" t="s">
        <v>1557</v>
      </c>
      <c r="D17" s="852" t="s">
        <v>1545</v>
      </c>
      <c r="F17" s="854" t="str">
        <f t="shared" si="1"/>
        <v>RazonableCon Salvedades</v>
      </c>
      <c r="G17" s="853" t="s">
        <v>838</v>
      </c>
      <c r="H17" s="855" t="s">
        <v>531</v>
      </c>
      <c r="I17" s="857" t="s">
        <v>1548</v>
      </c>
    </row>
    <row r="18" spans="1:9" ht="15" customHeight="1" x14ac:dyDescent="0.25">
      <c r="A18" s="851" t="str">
        <f t="shared" si="0"/>
        <v>RazonableNo Aplica</v>
      </c>
      <c r="B18" s="858" t="s">
        <v>838</v>
      </c>
      <c r="C18" s="856" t="s">
        <v>1393</v>
      </c>
      <c r="D18" s="858" t="s">
        <v>838</v>
      </c>
      <c r="F18" s="854" t="str">
        <f t="shared" si="1"/>
        <v>RazonableLimpia o Sin Salvedades</v>
      </c>
      <c r="G18" s="853" t="s">
        <v>838</v>
      </c>
      <c r="H18" s="853" t="s">
        <v>526</v>
      </c>
      <c r="I18" s="857" t="s">
        <v>1548</v>
      </c>
    </row>
    <row r="19" spans="1:9" x14ac:dyDescent="0.25">
      <c r="A19" s="851" t="str">
        <f t="shared" si="0"/>
        <v>No AplicaFavorable</v>
      </c>
      <c r="B19" s="856" t="s">
        <v>1393</v>
      </c>
      <c r="C19" s="858" t="s">
        <v>1555</v>
      </c>
      <c r="D19" s="858" t="s">
        <v>838</v>
      </c>
    </row>
    <row r="20" spans="1:9" x14ac:dyDescent="0.25">
      <c r="A20" s="851" t="str">
        <f t="shared" si="0"/>
        <v>No AplicaCon Observaciones</v>
      </c>
      <c r="B20" s="856" t="s">
        <v>1393</v>
      </c>
      <c r="C20" s="855" t="s">
        <v>1556</v>
      </c>
      <c r="D20" s="855" t="s">
        <v>531</v>
      </c>
    </row>
    <row r="21" spans="1:9" x14ac:dyDescent="0.25">
      <c r="A21" s="851" t="str">
        <f t="shared" si="0"/>
        <v>No AplicaDesfavorable</v>
      </c>
      <c r="B21" s="856" t="s">
        <v>1393</v>
      </c>
      <c r="C21" s="852" t="s">
        <v>1557</v>
      </c>
      <c r="D21" s="852" t="s">
        <v>1545</v>
      </c>
    </row>
    <row r="22" spans="1:9" x14ac:dyDescent="0.25">
      <c r="A22" s="851" t="str">
        <f t="shared" si="0"/>
        <v>No AplicaNo Aplica</v>
      </c>
      <c r="B22" s="856" t="s">
        <v>1393</v>
      </c>
      <c r="C22" s="856" t="s">
        <v>1393</v>
      </c>
      <c r="D22" s="856" t="s">
        <v>1393</v>
      </c>
    </row>
    <row r="26" spans="1:9" ht="30" x14ac:dyDescent="0.25">
      <c r="A26" s="848" t="s">
        <v>1539</v>
      </c>
      <c r="B26" s="849" t="s">
        <v>1550</v>
      </c>
      <c r="C26" s="849" t="s">
        <v>1551</v>
      </c>
      <c r="D26" s="849" t="s">
        <v>1543</v>
      </c>
      <c r="F26" s="848" t="s">
        <v>1539</v>
      </c>
      <c r="G26" s="848" t="s">
        <v>1558</v>
      </c>
      <c r="H26" s="848" t="s">
        <v>1559</v>
      </c>
      <c r="I26" s="848" t="s">
        <v>1560</v>
      </c>
    </row>
    <row r="27" spans="1:9" x14ac:dyDescent="0.25">
      <c r="A27" s="851" t="str">
        <f t="shared" ref="A27:A38" si="2">+CONCATENATE(B27,C27)</f>
        <v>NegativaEfectivo</v>
      </c>
      <c r="B27" s="852" t="s">
        <v>535</v>
      </c>
      <c r="C27" s="853" t="s">
        <v>145</v>
      </c>
      <c r="D27" s="852" t="s">
        <v>535</v>
      </c>
      <c r="F27" s="851" t="str">
        <f>+CONCATENATE(G27,H27)</f>
        <v>DesfavorableFavorable</v>
      </c>
      <c r="G27" s="863" t="s">
        <v>1557</v>
      </c>
      <c r="H27" s="858" t="s">
        <v>1555</v>
      </c>
      <c r="I27" s="863" t="s">
        <v>1557</v>
      </c>
    </row>
    <row r="28" spans="1:9" x14ac:dyDescent="0.25">
      <c r="A28" s="851" t="str">
        <f t="shared" si="2"/>
        <v>NegativaInefectivo</v>
      </c>
      <c r="B28" s="852" t="s">
        <v>535</v>
      </c>
      <c r="C28" s="852" t="s">
        <v>130</v>
      </c>
      <c r="D28" s="852" t="s">
        <v>535</v>
      </c>
      <c r="F28" s="851" t="str">
        <f t="shared" ref="F28:F35" si="3">+CONCATENATE(G28,H28)</f>
        <v>DesfavorableCon Observaciones</v>
      </c>
      <c r="G28" s="863" t="s">
        <v>1557</v>
      </c>
      <c r="H28" s="864" t="s">
        <v>1556</v>
      </c>
      <c r="I28" s="863" t="s">
        <v>1557</v>
      </c>
    </row>
    <row r="29" spans="1:9" x14ac:dyDescent="0.25">
      <c r="A29" s="851" t="str">
        <f t="shared" si="2"/>
        <v>NegativaNO APLICA</v>
      </c>
      <c r="B29" s="852" t="s">
        <v>535</v>
      </c>
      <c r="C29" s="855" t="s">
        <v>459</v>
      </c>
      <c r="D29" s="852" t="s">
        <v>535</v>
      </c>
      <c r="F29" s="851" t="str">
        <f t="shared" si="3"/>
        <v>DesfavorableDesfavorable</v>
      </c>
      <c r="G29" s="863" t="s">
        <v>1557</v>
      </c>
      <c r="H29" s="863" t="s">
        <v>1557</v>
      </c>
      <c r="I29" s="863" t="s">
        <v>1557</v>
      </c>
    </row>
    <row r="30" spans="1:9" x14ac:dyDescent="0.25">
      <c r="A30" s="851" t="str">
        <f t="shared" si="2"/>
        <v>AbstenciónEfectivo</v>
      </c>
      <c r="B30" s="852" t="s">
        <v>541</v>
      </c>
      <c r="C30" s="853" t="s">
        <v>145</v>
      </c>
      <c r="D30" s="852" t="s">
        <v>541</v>
      </c>
      <c r="F30" s="851" t="str">
        <f t="shared" si="3"/>
        <v>FavorableFavorable</v>
      </c>
      <c r="G30" s="858" t="s">
        <v>1555</v>
      </c>
      <c r="H30" s="858" t="s">
        <v>1555</v>
      </c>
      <c r="I30" s="858" t="s">
        <v>1555</v>
      </c>
    </row>
    <row r="31" spans="1:9" x14ac:dyDescent="0.25">
      <c r="A31" s="851" t="str">
        <f t="shared" si="2"/>
        <v>AbstenciónInefectivo</v>
      </c>
      <c r="B31" s="852" t="s">
        <v>541</v>
      </c>
      <c r="C31" s="852" t="s">
        <v>130</v>
      </c>
      <c r="D31" s="852" t="s">
        <v>541</v>
      </c>
      <c r="F31" s="851" t="str">
        <f t="shared" si="3"/>
        <v>FavorableCon Observaciones</v>
      </c>
      <c r="G31" s="858" t="s">
        <v>1555</v>
      </c>
      <c r="H31" s="864" t="s">
        <v>1556</v>
      </c>
      <c r="I31" s="858" t="s">
        <v>1555</v>
      </c>
    </row>
    <row r="32" spans="1:9" x14ac:dyDescent="0.25">
      <c r="A32" s="851" t="str">
        <f t="shared" si="2"/>
        <v>AbstenciónNO APLICA</v>
      </c>
      <c r="B32" s="852" t="s">
        <v>541</v>
      </c>
      <c r="C32" s="855" t="s">
        <v>459</v>
      </c>
      <c r="D32" s="852" t="s">
        <v>541</v>
      </c>
      <c r="F32" s="851" t="str">
        <f t="shared" si="3"/>
        <v>FavorableDesfavorable</v>
      </c>
      <c r="G32" s="858" t="s">
        <v>1555</v>
      </c>
      <c r="H32" s="863" t="s">
        <v>1557</v>
      </c>
      <c r="I32" s="863" t="s">
        <v>1557</v>
      </c>
    </row>
    <row r="33" spans="1:9" x14ac:dyDescent="0.25">
      <c r="A33" s="851" t="str">
        <f t="shared" si="2"/>
        <v>Limpia o Sin SalvedadesEfectivo</v>
      </c>
      <c r="B33" s="853" t="s">
        <v>526</v>
      </c>
      <c r="C33" s="853" t="s">
        <v>145</v>
      </c>
      <c r="D33" s="853" t="s">
        <v>526</v>
      </c>
      <c r="F33" s="851" t="str">
        <f t="shared" si="3"/>
        <v>Con ObservacionesFavorable</v>
      </c>
      <c r="G33" s="864" t="s">
        <v>1556</v>
      </c>
      <c r="H33" s="858" t="s">
        <v>1555</v>
      </c>
      <c r="I33" s="858" t="s">
        <v>1555</v>
      </c>
    </row>
    <row r="34" spans="1:9" x14ac:dyDescent="0.25">
      <c r="A34" s="851" t="str">
        <f t="shared" si="2"/>
        <v>Limpia o Sin SalvedadesInefectivo</v>
      </c>
      <c r="B34" s="853" t="s">
        <v>526</v>
      </c>
      <c r="C34" s="852" t="s">
        <v>130</v>
      </c>
      <c r="D34" s="853" t="s">
        <v>526</v>
      </c>
      <c r="F34" s="851" t="str">
        <f t="shared" si="3"/>
        <v>Con ObservacionesCon Observaciones</v>
      </c>
      <c r="G34" s="864" t="s">
        <v>1556</v>
      </c>
      <c r="H34" s="864" t="s">
        <v>1556</v>
      </c>
      <c r="I34" s="864" t="s">
        <v>1556</v>
      </c>
    </row>
    <row r="35" spans="1:9" x14ac:dyDescent="0.25">
      <c r="A35" s="851" t="str">
        <f t="shared" si="2"/>
        <v>Limpia o Sin SalvedadesNO APLICA</v>
      </c>
      <c r="B35" s="853" t="s">
        <v>526</v>
      </c>
      <c r="C35" s="855" t="s">
        <v>459</v>
      </c>
      <c r="D35" s="853" t="s">
        <v>526</v>
      </c>
      <c r="F35" s="851" t="str">
        <f t="shared" si="3"/>
        <v>Con ObservacionesDesfavorable</v>
      </c>
      <c r="G35" s="864" t="s">
        <v>1556</v>
      </c>
      <c r="H35" s="863" t="s">
        <v>1557</v>
      </c>
      <c r="I35" s="863" t="s">
        <v>1557</v>
      </c>
    </row>
    <row r="36" spans="1:9" x14ac:dyDescent="0.25">
      <c r="A36" s="851" t="str">
        <f t="shared" si="2"/>
        <v>Con SalvedadesEfectivo</v>
      </c>
      <c r="B36" s="855" t="s">
        <v>531</v>
      </c>
      <c r="C36" s="853" t="s">
        <v>145</v>
      </c>
      <c r="D36" s="855" t="s">
        <v>531</v>
      </c>
    </row>
    <row r="37" spans="1:9" x14ac:dyDescent="0.25">
      <c r="A37" s="851" t="str">
        <f t="shared" si="2"/>
        <v>Con SalvedadesInefectivo</v>
      </c>
      <c r="B37" s="855" t="s">
        <v>531</v>
      </c>
      <c r="C37" s="852" t="s">
        <v>130</v>
      </c>
      <c r="D37" s="855" t="s">
        <v>531</v>
      </c>
    </row>
    <row r="38" spans="1:9" x14ac:dyDescent="0.25">
      <c r="A38" s="851" t="str">
        <f t="shared" si="2"/>
        <v>Con SalvedadesNO APLICA</v>
      </c>
      <c r="B38" s="855" t="s">
        <v>531</v>
      </c>
      <c r="C38" s="855" t="s">
        <v>459</v>
      </c>
      <c r="D38" s="855" t="s">
        <v>531</v>
      </c>
    </row>
    <row r="39" spans="1:9" ht="30" x14ac:dyDescent="0.25">
      <c r="F39" s="848" t="s">
        <v>1539</v>
      </c>
      <c r="G39" s="848" t="s">
        <v>1578</v>
      </c>
      <c r="H39" s="848" t="s">
        <v>1579</v>
      </c>
      <c r="I39" s="848" t="s">
        <v>1580</v>
      </c>
    </row>
    <row r="40" spans="1:9" x14ac:dyDescent="0.25">
      <c r="D40" s="391" t="str">
        <f>IF(D87="SI","Razonable",IF(D88="SI","Con Salvedades",IF(AND(D89="SI",D90="Predomina Incorrecciones"),"No Razonable",IF(AND(D89="SI",D90="Predomina Imposibilidades"),"Abstención",""))))</f>
        <v/>
      </c>
      <c r="F40" s="851" t="str">
        <f>+CONCATENATE(G40,H40)</f>
        <v>No RazonableNo Razonable</v>
      </c>
      <c r="G40" s="852" t="s">
        <v>1545</v>
      </c>
      <c r="H40" s="852" t="s">
        <v>1545</v>
      </c>
      <c r="I40" s="852" t="s">
        <v>1545</v>
      </c>
    </row>
    <row r="41" spans="1:9" x14ac:dyDescent="0.25">
      <c r="F41" s="851" t="str">
        <f t="shared" ref="F41:F64" si="4">+CONCATENATE(G41,H41)</f>
        <v>No RazonableAbstención</v>
      </c>
      <c r="G41" s="852" t="s">
        <v>1545</v>
      </c>
      <c r="H41" s="852" t="s">
        <v>541</v>
      </c>
      <c r="I41" s="852" t="s">
        <v>541</v>
      </c>
    </row>
    <row r="42" spans="1:9" x14ac:dyDescent="0.25">
      <c r="F42" s="851" t="str">
        <f t="shared" si="4"/>
        <v>No RazonableCon Salvedades</v>
      </c>
      <c r="G42" s="852" t="s">
        <v>1545</v>
      </c>
      <c r="H42" s="855" t="s">
        <v>531</v>
      </c>
      <c r="I42" s="852" t="s">
        <v>1545</v>
      </c>
    </row>
    <row r="43" spans="1:9" x14ac:dyDescent="0.25">
      <c r="F43" s="851" t="str">
        <f t="shared" si="4"/>
        <v>No RazonableRazonable</v>
      </c>
      <c r="G43" s="852" t="s">
        <v>1545</v>
      </c>
      <c r="H43" s="858" t="s">
        <v>838</v>
      </c>
      <c r="I43" s="852" t="s">
        <v>1545</v>
      </c>
    </row>
    <row r="44" spans="1:9" x14ac:dyDescent="0.25">
      <c r="F44" s="851" t="str">
        <f t="shared" si="4"/>
        <v>No RazonableNo Aplica</v>
      </c>
      <c r="G44" s="852" t="s">
        <v>1545</v>
      </c>
      <c r="H44" s="856" t="s">
        <v>1393</v>
      </c>
      <c r="I44" s="852" t="s">
        <v>1545</v>
      </c>
    </row>
    <row r="45" spans="1:9" x14ac:dyDescent="0.25">
      <c r="F45" s="851" t="str">
        <f t="shared" si="4"/>
        <v>AbstenciónNo Razonable</v>
      </c>
      <c r="G45" s="852" t="s">
        <v>541</v>
      </c>
      <c r="H45" s="852" t="s">
        <v>1545</v>
      </c>
      <c r="I45" s="852" t="s">
        <v>541</v>
      </c>
    </row>
    <row r="46" spans="1:9" x14ac:dyDescent="0.25">
      <c r="F46" s="851" t="str">
        <f t="shared" si="4"/>
        <v>AbstenciónAbstención</v>
      </c>
      <c r="G46" s="852" t="s">
        <v>541</v>
      </c>
      <c r="H46" s="852" t="s">
        <v>541</v>
      </c>
      <c r="I46" s="852" t="s">
        <v>541</v>
      </c>
    </row>
    <row r="47" spans="1:9" x14ac:dyDescent="0.25">
      <c r="F47" s="851" t="str">
        <f t="shared" si="4"/>
        <v>AbstenciónCon Salvedades</v>
      </c>
      <c r="G47" s="852" t="s">
        <v>541</v>
      </c>
      <c r="H47" s="855" t="s">
        <v>531</v>
      </c>
      <c r="I47" s="852" t="s">
        <v>541</v>
      </c>
    </row>
    <row r="48" spans="1:9" x14ac:dyDescent="0.25">
      <c r="F48" s="851" t="str">
        <f t="shared" si="4"/>
        <v>AbstenciónRazonable</v>
      </c>
      <c r="G48" s="852" t="s">
        <v>541</v>
      </c>
      <c r="H48" s="858" t="s">
        <v>838</v>
      </c>
      <c r="I48" s="852" t="s">
        <v>541</v>
      </c>
    </row>
    <row r="49" spans="6:9" x14ac:dyDescent="0.25">
      <c r="F49" s="851" t="str">
        <f t="shared" si="4"/>
        <v>AbstenciónNo Aplica</v>
      </c>
      <c r="G49" s="852" t="s">
        <v>541</v>
      </c>
      <c r="H49" s="856" t="s">
        <v>1393</v>
      </c>
      <c r="I49" s="852" t="s">
        <v>541</v>
      </c>
    </row>
    <row r="50" spans="6:9" x14ac:dyDescent="0.25">
      <c r="F50" s="851" t="str">
        <f t="shared" si="4"/>
        <v>Con SalvedadesNo Razonable</v>
      </c>
      <c r="G50" s="855" t="s">
        <v>531</v>
      </c>
      <c r="H50" s="852" t="s">
        <v>1545</v>
      </c>
      <c r="I50" s="852" t="s">
        <v>1545</v>
      </c>
    </row>
    <row r="51" spans="6:9" x14ac:dyDescent="0.25">
      <c r="F51" s="851" t="str">
        <f t="shared" si="4"/>
        <v>Con SalvedadesAbstención</v>
      </c>
      <c r="G51" s="855" t="s">
        <v>531</v>
      </c>
      <c r="H51" s="852" t="s">
        <v>541</v>
      </c>
      <c r="I51" s="852" t="s">
        <v>541</v>
      </c>
    </row>
    <row r="52" spans="6:9" x14ac:dyDescent="0.25">
      <c r="F52" s="851" t="str">
        <f t="shared" si="4"/>
        <v>Con SalvedadesCon Salvedades</v>
      </c>
      <c r="G52" s="855" t="s">
        <v>531</v>
      </c>
      <c r="H52" s="855" t="s">
        <v>531</v>
      </c>
      <c r="I52" s="855" t="s">
        <v>531</v>
      </c>
    </row>
    <row r="53" spans="6:9" x14ac:dyDescent="0.25">
      <c r="F53" s="851" t="str">
        <f t="shared" si="4"/>
        <v>Con SalvedadesRazonable</v>
      </c>
      <c r="G53" s="855" t="s">
        <v>531</v>
      </c>
      <c r="H53" s="858" t="s">
        <v>838</v>
      </c>
      <c r="I53" s="855" t="s">
        <v>531</v>
      </c>
    </row>
    <row r="54" spans="6:9" x14ac:dyDescent="0.25">
      <c r="F54" s="851" t="str">
        <f t="shared" si="4"/>
        <v>Con SalvedadesNo Aplica</v>
      </c>
      <c r="G54" s="855" t="s">
        <v>531</v>
      </c>
      <c r="H54" s="856" t="s">
        <v>1393</v>
      </c>
      <c r="I54" s="855" t="s">
        <v>531</v>
      </c>
    </row>
    <row r="55" spans="6:9" x14ac:dyDescent="0.25">
      <c r="F55" s="851" t="str">
        <f t="shared" si="4"/>
        <v>RazonableNo Razonable</v>
      </c>
      <c r="G55" s="858" t="s">
        <v>838</v>
      </c>
      <c r="H55" s="852" t="s">
        <v>1545</v>
      </c>
      <c r="I55" s="852" t="s">
        <v>1545</v>
      </c>
    </row>
    <row r="56" spans="6:9" x14ac:dyDescent="0.25">
      <c r="F56" s="851" t="str">
        <f t="shared" si="4"/>
        <v>RazonableAbstención</v>
      </c>
      <c r="G56" s="858" t="s">
        <v>838</v>
      </c>
      <c r="H56" s="852" t="s">
        <v>541</v>
      </c>
      <c r="I56" s="852" t="s">
        <v>541</v>
      </c>
    </row>
    <row r="57" spans="6:9" x14ac:dyDescent="0.25">
      <c r="F57" s="851" t="str">
        <f t="shared" si="4"/>
        <v>RazonableCon Salvedades</v>
      </c>
      <c r="G57" s="858" t="s">
        <v>838</v>
      </c>
      <c r="H57" s="855" t="s">
        <v>531</v>
      </c>
      <c r="I57" s="855" t="s">
        <v>531</v>
      </c>
    </row>
    <row r="58" spans="6:9" x14ac:dyDescent="0.25">
      <c r="F58" s="851" t="str">
        <f t="shared" si="4"/>
        <v>RazonableRazonable</v>
      </c>
      <c r="G58" s="858" t="s">
        <v>838</v>
      </c>
      <c r="H58" s="858" t="s">
        <v>838</v>
      </c>
      <c r="I58" s="858" t="s">
        <v>838</v>
      </c>
    </row>
    <row r="59" spans="6:9" x14ac:dyDescent="0.25">
      <c r="F59" s="851" t="str">
        <f t="shared" si="4"/>
        <v>RazonableNo Aplica</v>
      </c>
      <c r="G59" s="858" t="s">
        <v>838</v>
      </c>
      <c r="H59" s="856" t="s">
        <v>1393</v>
      </c>
      <c r="I59" s="858" t="s">
        <v>838</v>
      </c>
    </row>
    <row r="60" spans="6:9" x14ac:dyDescent="0.25">
      <c r="F60" s="851" t="str">
        <f t="shared" si="4"/>
        <v>No AplicaNo Razonable</v>
      </c>
      <c r="G60" s="856" t="s">
        <v>1393</v>
      </c>
      <c r="H60" s="852" t="s">
        <v>1545</v>
      </c>
      <c r="I60" s="852" t="s">
        <v>1545</v>
      </c>
    </row>
    <row r="61" spans="6:9" x14ac:dyDescent="0.25">
      <c r="F61" s="851" t="str">
        <f t="shared" si="4"/>
        <v>No AplicaAbstención</v>
      </c>
      <c r="G61" s="856" t="s">
        <v>1393</v>
      </c>
      <c r="H61" s="852" t="s">
        <v>541</v>
      </c>
      <c r="I61" s="852" t="s">
        <v>541</v>
      </c>
    </row>
    <row r="62" spans="6:9" x14ac:dyDescent="0.25">
      <c r="F62" s="851" t="str">
        <f t="shared" si="4"/>
        <v>No AplicaCon Salvedades</v>
      </c>
      <c r="G62" s="856" t="s">
        <v>1393</v>
      </c>
      <c r="H62" s="855" t="s">
        <v>531</v>
      </c>
      <c r="I62" s="855" t="s">
        <v>531</v>
      </c>
    </row>
    <row r="63" spans="6:9" x14ac:dyDescent="0.25">
      <c r="F63" s="851" t="str">
        <f t="shared" si="4"/>
        <v>No AplicaRazonable</v>
      </c>
      <c r="G63" s="856" t="s">
        <v>1393</v>
      </c>
      <c r="H63" s="858" t="s">
        <v>838</v>
      </c>
      <c r="I63" s="858" t="s">
        <v>838</v>
      </c>
    </row>
    <row r="64" spans="6:9" x14ac:dyDescent="0.25">
      <c r="F64" s="851" t="str">
        <f t="shared" si="4"/>
        <v>No AplicaNo Aplica</v>
      </c>
      <c r="G64" s="856" t="s">
        <v>1393</v>
      </c>
      <c r="H64" s="856" t="s">
        <v>1393</v>
      </c>
      <c r="I64" s="856" t="s">
        <v>1393</v>
      </c>
    </row>
  </sheetData>
  <sheetProtection algorithmName="SHA-512" hashValue="OtlMN+ImkwtCDCQMTgi8S49ml6Giwj2c0cfQjDJVIWzNP8vOP5mfe+D0SfNlHMA/5fdKKvgbJ5r3Sx2gj7GUAA==" saltValue="gtPUpT4L+zkj2W4xC1jioQ==" spinCount="100000" sheet="1" objects="1" scenarios="1"/>
  <conditionalFormatting sqref="B7:B10">
    <cfRule type="containsText" dxfId="342" priority="45" operator="containsText" text="Abstención">
      <formula>NOT(ISERROR(SEARCH("Abstención",B7)))</formula>
    </cfRule>
  </conditionalFormatting>
  <conditionalFormatting sqref="B30:B32">
    <cfRule type="containsText" dxfId="341" priority="39" operator="containsText" text="Abstención">
      <formula>NOT(ISERROR(SEARCH("Abstención",B30)))</formula>
    </cfRule>
  </conditionalFormatting>
  <conditionalFormatting sqref="D7:D10">
    <cfRule type="containsText" dxfId="340" priority="44" operator="containsText" text="Abstención">
      <formula>NOT(ISERROR(SEARCH("Abstención",D7)))</formula>
    </cfRule>
  </conditionalFormatting>
  <conditionalFormatting sqref="D30:D32">
    <cfRule type="containsText" dxfId="339" priority="37" operator="containsText" text="Abstención">
      <formula>NOT(ISERROR(SEARCH("Abstención",D30)))</formula>
    </cfRule>
  </conditionalFormatting>
  <conditionalFormatting sqref="G7:G10">
    <cfRule type="containsText" dxfId="338" priority="34" operator="containsText" text="Abstención">
      <formula>NOT(ISERROR(SEARCH("Abstención",G7)))</formula>
    </cfRule>
  </conditionalFormatting>
  <conditionalFormatting sqref="G30:G32">
    <cfRule type="containsText" dxfId="337" priority="24" operator="containsText" text="Abstención">
      <formula>NOT(ISERROR(SEARCH("Abstención",G30)))</formula>
    </cfRule>
  </conditionalFormatting>
  <conditionalFormatting sqref="G45:G49">
    <cfRule type="containsText" dxfId="336" priority="10" operator="containsText" text="Abstención">
      <formula>NOT(ISERROR(SEARCH("Abstención",G45)))</formula>
    </cfRule>
  </conditionalFormatting>
  <conditionalFormatting sqref="H4">
    <cfRule type="containsText" dxfId="335" priority="35" operator="containsText" text="Abstención">
      <formula>NOT(ISERROR(SEARCH("Abstención",H4)))</formula>
    </cfRule>
  </conditionalFormatting>
  <conditionalFormatting sqref="H8">
    <cfRule type="containsText" dxfId="334" priority="33" operator="containsText" text="Abstención">
      <formula>NOT(ISERROR(SEARCH("Abstención",H8)))</formula>
    </cfRule>
  </conditionalFormatting>
  <conditionalFormatting sqref="H12">
    <cfRule type="containsText" dxfId="333" priority="32" operator="containsText" text="Abstención">
      <formula>NOT(ISERROR(SEARCH("Abstención",H12)))</formula>
    </cfRule>
  </conditionalFormatting>
  <conditionalFormatting sqref="H16">
    <cfRule type="containsText" dxfId="332" priority="31" operator="containsText" text="Abstención">
      <formula>NOT(ISERROR(SEARCH("Abstención",H16)))</formula>
    </cfRule>
  </conditionalFormatting>
  <conditionalFormatting sqref="H27">
    <cfRule type="containsText" dxfId="331" priority="23" operator="containsText" text="Abstención">
      <formula>NOT(ISERROR(SEARCH("Abstención",H27)))</formula>
    </cfRule>
  </conditionalFormatting>
  <conditionalFormatting sqref="H30">
    <cfRule type="containsText" dxfId="330" priority="22" operator="containsText" text="Abstención">
      <formula>NOT(ISERROR(SEARCH("Abstención",H30)))</formula>
    </cfRule>
  </conditionalFormatting>
  <conditionalFormatting sqref="H46">
    <cfRule type="containsText" dxfId="329" priority="11" operator="containsText" text="Abstención">
      <formula>NOT(ISERROR(SEARCH("Abstención",H46)))</formula>
    </cfRule>
  </conditionalFormatting>
  <conditionalFormatting sqref="H33:I33">
    <cfRule type="containsText" dxfId="328" priority="20" operator="containsText" text="Abstención">
      <formula>NOT(ISERROR(SEARCH("Abstención",H33)))</formula>
    </cfRule>
  </conditionalFormatting>
  <conditionalFormatting sqref="H41:I41">
    <cfRule type="containsText" dxfId="327" priority="4" operator="containsText" text="Abstención">
      <formula>NOT(ISERROR(SEARCH("Abstención",H41)))</formula>
    </cfRule>
  </conditionalFormatting>
  <conditionalFormatting sqref="H51:I51">
    <cfRule type="containsText" dxfId="326" priority="3" operator="containsText" text="Abstención">
      <formula>NOT(ISERROR(SEARCH("Abstención",H51)))</formula>
    </cfRule>
  </conditionalFormatting>
  <conditionalFormatting sqref="H56:I56">
    <cfRule type="containsText" dxfId="325" priority="2" operator="containsText" text="Abstención">
      <formula>NOT(ISERROR(SEARCH("Abstención",H56)))</formula>
    </cfRule>
  </conditionalFormatting>
  <conditionalFormatting sqref="H61:I61">
    <cfRule type="containsText" dxfId="324" priority="1" operator="containsText" text="Abstención">
      <formula>NOT(ISERROR(SEARCH("Abstención",H61)))</formula>
    </cfRule>
  </conditionalFormatting>
  <conditionalFormatting sqref="I3:I12">
    <cfRule type="containsText" dxfId="323" priority="26" operator="containsText" text="NO">
      <formula>NOT(ISERROR(SEARCH("NO",I3)))</formula>
    </cfRule>
  </conditionalFormatting>
  <conditionalFormatting sqref="I15:I16">
    <cfRule type="containsText" dxfId="322" priority="28" operator="containsText" text="NO">
      <formula>NOT(ISERROR(SEARCH("NO",I15)))</formula>
    </cfRule>
  </conditionalFormatting>
  <conditionalFormatting sqref="I30:I31">
    <cfRule type="containsText" dxfId="321" priority="18" operator="containsText" text="Abstención">
      <formula>NOT(ISERROR(SEARCH("Abstención",I30)))</formula>
    </cfRule>
  </conditionalFormatting>
  <conditionalFormatting sqref="I45:I49">
    <cfRule type="containsText" dxfId="320" priority="5" operator="containsText" text="Abstención">
      <formula>NOT(ISERROR(SEARCH("Abstención",I45)))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W106"/>
  <sheetViews>
    <sheetView topLeftCell="A12" zoomScale="55" zoomScaleNormal="55" workbookViewId="0">
      <selection activeCell="A76" sqref="A76"/>
    </sheetView>
  </sheetViews>
  <sheetFormatPr baseColWidth="10" defaultRowHeight="15" x14ac:dyDescent="0.25"/>
  <cols>
    <col min="2" max="2" width="11.42578125" customWidth="1"/>
    <col min="3" max="3" width="43.7109375" customWidth="1"/>
    <col min="4" max="4" width="66.140625" customWidth="1"/>
    <col min="6" max="6" width="89.140625" style="758" customWidth="1"/>
    <col min="7" max="7" width="30.42578125" bestFit="1" customWidth="1"/>
    <col min="8" max="8" width="51.28515625" customWidth="1"/>
    <col min="9" max="9" width="19.42578125" style="1324" customWidth="1"/>
    <col min="10" max="10" width="15.5703125" customWidth="1"/>
    <col min="12" max="12" width="16.42578125" customWidth="1"/>
    <col min="13" max="14" width="18.28515625" customWidth="1"/>
    <col min="15" max="15" width="15.7109375" customWidth="1"/>
    <col min="16" max="17" width="17.42578125" customWidth="1"/>
    <col min="19" max="19" width="73" customWidth="1"/>
    <col min="20" max="20" width="35.7109375" customWidth="1"/>
    <col min="21" max="21" width="35.28515625" customWidth="1"/>
    <col min="22" max="22" width="25" customWidth="1"/>
    <col min="23" max="23" width="18.140625" customWidth="1"/>
    <col min="24" max="24" width="19.28515625" customWidth="1"/>
    <col min="28" max="28" width="22.7109375" customWidth="1"/>
    <col min="29" max="29" width="16.7109375" customWidth="1"/>
    <col min="30" max="30" width="14.28515625" customWidth="1"/>
    <col min="31" max="31" width="11.42578125" customWidth="1"/>
    <col min="32" max="32" width="31.7109375" customWidth="1"/>
    <col min="33" max="33" width="11.42578125" customWidth="1"/>
    <col min="40" max="40" width="20.7109375" customWidth="1"/>
    <col min="48" max="48" width="36.85546875" customWidth="1"/>
    <col min="49" max="49" width="24" customWidth="1"/>
  </cols>
  <sheetData>
    <row r="1" spans="1:49" x14ac:dyDescent="0.25">
      <c r="A1" s="30"/>
      <c r="B1" s="30"/>
      <c r="C1" s="30"/>
      <c r="D1" s="30"/>
      <c r="E1" s="30"/>
      <c r="F1" s="741"/>
      <c r="G1" s="30"/>
      <c r="H1" s="30"/>
      <c r="I1" s="763"/>
      <c r="J1" s="30"/>
      <c r="K1" s="30"/>
      <c r="L1" s="30"/>
      <c r="M1" s="30"/>
      <c r="N1" s="30"/>
      <c r="O1" s="30"/>
      <c r="P1" s="30"/>
      <c r="Q1" s="30"/>
      <c r="R1" s="30"/>
      <c r="S1" s="30"/>
      <c r="T1" s="30"/>
      <c r="U1" s="30"/>
      <c r="V1" s="30"/>
      <c r="W1" s="30"/>
      <c r="X1" s="30"/>
      <c r="Y1" s="30"/>
      <c r="Z1" s="30"/>
      <c r="AA1" s="30"/>
      <c r="AB1" s="30"/>
      <c r="AC1" s="30"/>
      <c r="AD1" s="30"/>
      <c r="AE1" s="30"/>
      <c r="AF1" s="30"/>
      <c r="AG1" s="30"/>
    </row>
    <row r="2" spans="1:49" ht="63" customHeight="1" x14ac:dyDescent="0.25">
      <c r="A2" s="30"/>
      <c r="B2" s="741" t="s">
        <v>301</v>
      </c>
      <c r="C2" s="741" t="s">
        <v>302</v>
      </c>
      <c r="D2" s="741" t="s">
        <v>303</v>
      </c>
      <c r="E2" s="741"/>
      <c r="F2" s="741" t="s">
        <v>467</v>
      </c>
      <c r="G2" s="30" t="s">
        <v>468</v>
      </c>
      <c r="H2" s="30" t="s">
        <v>302</v>
      </c>
      <c r="I2" s="763" t="s">
        <v>507</v>
      </c>
      <c r="J2" s="30" t="s">
        <v>1664</v>
      </c>
      <c r="K2" s="30"/>
      <c r="L2" s="742" t="s">
        <v>158</v>
      </c>
      <c r="M2" s="743" t="s">
        <v>160</v>
      </c>
      <c r="N2" s="743" t="s">
        <v>1279</v>
      </c>
      <c r="O2" s="743" t="s">
        <v>159</v>
      </c>
      <c r="P2" s="743" t="s">
        <v>160</v>
      </c>
      <c r="Q2" s="743" t="s">
        <v>1280</v>
      </c>
      <c r="R2" s="30"/>
      <c r="S2" s="744" t="s">
        <v>1281</v>
      </c>
      <c r="T2" s="744" t="s">
        <v>1282</v>
      </c>
      <c r="U2" s="744" t="s">
        <v>1283</v>
      </c>
      <c r="V2" s="744" t="s">
        <v>1284</v>
      </c>
      <c r="W2" s="744" t="s">
        <v>1285</v>
      </c>
      <c r="X2" s="744" t="s">
        <v>1286</v>
      </c>
      <c r="Z2" s="251"/>
      <c r="AA2" s="268"/>
      <c r="AB2" s="1702" t="s">
        <v>199</v>
      </c>
      <c r="AC2" s="1702" t="s">
        <v>470</v>
      </c>
      <c r="AD2" s="1702"/>
      <c r="AE2" s="30"/>
      <c r="AF2" s="252" t="s">
        <v>471</v>
      </c>
      <c r="AG2" s="30"/>
      <c r="AH2" s="1706" t="s">
        <v>1287</v>
      </c>
      <c r="AI2" s="1706"/>
      <c r="AJ2" s="1706"/>
      <c r="AK2" s="1706"/>
      <c r="AL2" s="1706"/>
      <c r="AM2" s="1706"/>
      <c r="AN2" s="1706"/>
      <c r="AO2" s="1706" t="s">
        <v>1288</v>
      </c>
      <c r="AP2" s="1706"/>
      <c r="AQ2" s="1706"/>
      <c r="AR2" s="1706"/>
      <c r="AS2" s="1706"/>
      <c r="AT2" s="1706"/>
      <c r="AV2" s="745" t="s">
        <v>199</v>
      </c>
      <c r="AW2" s="745" t="s">
        <v>177</v>
      </c>
    </row>
    <row r="3" spans="1:49" ht="48" customHeight="1" x14ac:dyDescent="0.25">
      <c r="A3" s="30"/>
      <c r="B3" s="30">
        <v>100000</v>
      </c>
      <c r="C3" s="30" t="s">
        <v>305</v>
      </c>
      <c r="D3" s="30" t="s">
        <v>482</v>
      </c>
      <c r="E3" s="30"/>
      <c r="F3" s="741" t="s">
        <v>483</v>
      </c>
      <c r="G3" s="30" t="s">
        <v>484</v>
      </c>
      <c r="H3" s="30" t="s">
        <v>485</v>
      </c>
      <c r="I3" s="763"/>
      <c r="J3" s="746" t="s">
        <v>492</v>
      </c>
      <c r="K3" s="747"/>
      <c r="L3" s="748">
        <v>5</v>
      </c>
      <c r="M3" s="749" t="s">
        <v>164</v>
      </c>
      <c r="N3" s="750">
        <v>0.3</v>
      </c>
      <c r="O3" s="751">
        <v>4</v>
      </c>
      <c r="P3" s="749" t="s">
        <v>164</v>
      </c>
      <c r="Q3" s="750">
        <v>0.3</v>
      </c>
      <c r="R3" s="30"/>
      <c r="S3" s="752" t="s">
        <v>1362</v>
      </c>
      <c r="T3" s="753" t="s">
        <v>469</v>
      </c>
      <c r="U3" s="754" t="s">
        <v>1289</v>
      </c>
      <c r="V3" s="755" t="s">
        <v>1290</v>
      </c>
      <c r="W3" s="756" t="s">
        <v>1215</v>
      </c>
      <c r="X3" s="757">
        <v>0</v>
      </c>
      <c r="Z3" s="251"/>
      <c r="AA3" s="268"/>
      <c r="AB3" s="1702"/>
      <c r="AC3" s="258" t="s">
        <v>487</v>
      </c>
      <c r="AD3" s="258" t="s">
        <v>488</v>
      </c>
      <c r="AF3" s="259" t="s">
        <v>469</v>
      </c>
      <c r="AG3" s="30"/>
      <c r="AH3" s="758" t="s">
        <v>1291</v>
      </c>
      <c r="AO3" s="758" t="s">
        <v>1291</v>
      </c>
      <c r="AV3" s="759" t="s">
        <v>1553</v>
      </c>
      <c r="AW3" s="759">
        <v>1</v>
      </c>
    </row>
    <row r="4" spans="1:49" ht="47.25" customHeight="1" x14ac:dyDescent="0.25">
      <c r="A4" s="30"/>
      <c r="B4" s="30">
        <v>110000</v>
      </c>
      <c r="C4" s="30" t="s">
        <v>307</v>
      </c>
      <c r="D4" s="30" t="s">
        <v>494</v>
      </c>
      <c r="E4" s="30"/>
      <c r="F4" s="741" t="s">
        <v>495</v>
      </c>
      <c r="G4" s="30" t="s">
        <v>484</v>
      </c>
      <c r="H4" s="30" t="s">
        <v>496</v>
      </c>
      <c r="I4" s="763"/>
      <c r="J4" s="746" t="s">
        <v>492</v>
      </c>
      <c r="K4" s="747"/>
      <c r="L4">
        <v>6</v>
      </c>
      <c r="M4" s="749" t="s">
        <v>164</v>
      </c>
      <c r="N4" s="750">
        <v>0.3</v>
      </c>
      <c r="O4">
        <v>5</v>
      </c>
      <c r="P4" s="749" t="s">
        <v>164</v>
      </c>
      <c r="Q4" s="750">
        <v>0.3</v>
      </c>
      <c r="R4" s="30"/>
      <c r="S4" s="752" t="s">
        <v>1207</v>
      </c>
      <c r="T4" s="760" t="s">
        <v>498</v>
      </c>
      <c r="U4" s="754" t="s">
        <v>1235</v>
      </c>
      <c r="V4" s="755" t="s">
        <v>893</v>
      </c>
      <c r="W4" s="756" t="s">
        <v>1210</v>
      </c>
      <c r="X4" s="757">
        <v>0.05</v>
      </c>
      <c r="Z4" s="251"/>
      <c r="AA4" s="268"/>
      <c r="AB4" s="264" t="s">
        <v>497</v>
      </c>
      <c r="AC4" s="265">
        <v>0.75</v>
      </c>
      <c r="AD4" s="265">
        <v>1</v>
      </c>
      <c r="AE4" s="30"/>
      <c r="AF4" s="259" t="s">
        <v>498</v>
      </c>
      <c r="AG4" s="30"/>
      <c r="AH4" s="761" t="s">
        <v>1293</v>
      </c>
      <c r="AI4" s="758" t="s">
        <v>469</v>
      </c>
      <c r="AJ4" t="str">
        <f>CONCATENATE(AH4," ",AI4)</f>
        <v>O1 INGRESOS</v>
      </c>
      <c r="AL4" s="762"/>
      <c r="AM4" s="758"/>
      <c r="AO4" s="761">
        <v>41</v>
      </c>
      <c r="AP4" s="758" t="s">
        <v>469</v>
      </c>
      <c r="AQ4" t="str">
        <f>CONCATENATE(AO4," ",AP4)</f>
        <v>41 INGRESOS</v>
      </c>
      <c r="AV4" s="759" t="s">
        <v>917</v>
      </c>
      <c r="AW4" s="759">
        <v>0.75</v>
      </c>
    </row>
    <row r="5" spans="1:49" ht="64.5" customHeight="1" x14ac:dyDescent="0.25">
      <c r="A5" s="30"/>
      <c r="B5" s="30">
        <v>12000</v>
      </c>
      <c r="C5" s="30" t="s">
        <v>309</v>
      </c>
      <c r="D5" s="30" t="s">
        <v>500</v>
      </c>
      <c r="E5" s="30"/>
      <c r="F5" s="741" t="s">
        <v>306</v>
      </c>
      <c r="G5" s="30" t="s">
        <v>502</v>
      </c>
      <c r="H5" s="30" t="s">
        <v>494</v>
      </c>
      <c r="I5" s="763" t="s">
        <v>1294</v>
      </c>
      <c r="J5" s="746"/>
      <c r="K5" s="30"/>
      <c r="L5" s="748">
        <v>7</v>
      </c>
      <c r="M5" s="749" t="s">
        <v>164</v>
      </c>
      <c r="N5" s="750">
        <v>0.3</v>
      </c>
      <c r="O5" s="751">
        <v>6</v>
      </c>
      <c r="P5" s="749" t="s">
        <v>164</v>
      </c>
      <c r="Q5" s="750">
        <v>0.3</v>
      </c>
      <c r="R5" s="30"/>
      <c r="S5" s="752" t="s">
        <v>1302</v>
      </c>
      <c r="T5" s="753" t="s">
        <v>784</v>
      </c>
      <c r="U5" s="754" t="s">
        <v>1228</v>
      </c>
      <c r="V5" s="755" t="s">
        <v>1222</v>
      </c>
      <c r="W5" s="756" t="s">
        <v>1225</v>
      </c>
      <c r="X5" s="757">
        <v>0.1</v>
      </c>
      <c r="Y5" s="268"/>
      <c r="Z5" s="251"/>
      <c r="AA5" s="268"/>
      <c r="AB5" s="269" t="s">
        <v>288</v>
      </c>
      <c r="AC5" s="265">
        <v>0.65</v>
      </c>
      <c r="AD5" s="265">
        <v>0.75</v>
      </c>
      <c r="AE5" s="30"/>
      <c r="AF5" s="259" t="s">
        <v>504</v>
      </c>
      <c r="AG5" s="30"/>
      <c r="AH5" s="761" t="s">
        <v>1296</v>
      </c>
      <c r="AI5" s="758" t="s">
        <v>1297</v>
      </c>
      <c r="AJ5" t="str">
        <f t="shared" ref="AJ5:AJ68" si="0">CONCATENATE(AH5," ",AI5)</f>
        <v>O10 DISPONIBILIDAD INICIAL</v>
      </c>
      <c r="AL5" s="761"/>
      <c r="AM5" s="758"/>
      <c r="AO5" s="761">
        <v>410</v>
      </c>
      <c r="AP5" s="758" t="s">
        <v>1297</v>
      </c>
      <c r="AQ5" t="str">
        <f t="shared" ref="AQ5:AQ68" si="1">CONCATENATE(AO5," ",AP5)</f>
        <v>410 DISPONIBILIDAD INICIAL</v>
      </c>
      <c r="AV5" s="759" t="s">
        <v>1298</v>
      </c>
      <c r="AW5" s="759">
        <v>0</v>
      </c>
    </row>
    <row r="6" spans="1:49" ht="45" customHeight="1" x14ac:dyDescent="0.25">
      <c r="A6" s="30"/>
      <c r="B6" s="30">
        <v>120000</v>
      </c>
      <c r="C6" s="30" t="s">
        <v>311</v>
      </c>
      <c r="D6" s="30" t="s">
        <v>509</v>
      </c>
      <c r="E6" s="30"/>
      <c r="F6" s="741" t="s">
        <v>510</v>
      </c>
      <c r="G6" s="30" t="s">
        <v>511</v>
      </c>
      <c r="H6" s="30" t="s">
        <v>494</v>
      </c>
      <c r="I6" s="763" t="s">
        <v>1294</v>
      </c>
      <c r="J6" s="30" t="s">
        <v>492</v>
      </c>
      <c r="K6" s="30"/>
      <c r="L6">
        <v>8</v>
      </c>
      <c r="M6" s="749" t="s">
        <v>164</v>
      </c>
      <c r="N6" s="750">
        <v>0.3</v>
      </c>
      <c r="O6" s="764">
        <v>7</v>
      </c>
      <c r="P6" s="749" t="s">
        <v>164</v>
      </c>
      <c r="Q6" s="750">
        <v>0.3</v>
      </c>
      <c r="R6" s="30"/>
      <c r="S6" s="752" t="s">
        <v>1214</v>
      </c>
      <c r="T6" s="753" t="s">
        <v>787</v>
      </c>
      <c r="U6" s="765" t="s">
        <v>1209</v>
      </c>
      <c r="V6" s="755" t="s">
        <v>1230</v>
      </c>
      <c r="W6" s="756" t="s">
        <v>1236</v>
      </c>
      <c r="X6" s="757">
        <v>0.15</v>
      </c>
      <c r="Y6" s="268"/>
      <c r="Z6" s="251"/>
      <c r="AA6" s="268"/>
      <c r="AB6" s="264" t="s">
        <v>512</v>
      </c>
      <c r="AC6" s="265">
        <v>0</v>
      </c>
      <c r="AD6" s="265">
        <v>0.65</v>
      </c>
      <c r="AE6" s="30"/>
      <c r="AF6" s="259" t="s">
        <v>513</v>
      </c>
      <c r="AG6" s="30"/>
      <c r="AH6" s="761" t="s">
        <v>1300</v>
      </c>
      <c r="AI6" t="s">
        <v>1301</v>
      </c>
      <c r="AJ6" t="str">
        <f t="shared" si="0"/>
        <v>O1002 Bancos</v>
      </c>
      <c r="AL6" s="761"/>
      <c r="AM6" s="758"/>
      <c r="AO6" s="761">
        <v>41002</v>
      </c>
      <c r="AP6" t="s">
        <v>1301</v>
      </c>
      <c r="AQ6" t="str">
        <f t="shared" si="1"/>
        <v>41002 Bancos</v>
      </c>
      <c r="AV6" s="759" t="s">
        <v>1554</v>
      </c>
      <c r="AW6" s="759">
        <v>0</v>
      </c>
    </row>
    <row r="7" spans="1:49" ht="50.25" customHeight="1" x14ac:dyDescent="0.25">
      <c r="A7" s="30"/>
      <c r="B7" s="30">
        <v>12101</v>
      </c>
      <c r="C7" s="30" t="s">
        <v>313</v>
      </c>
      <c r="D7" s="30" t="s">
        <v>485</v>
      </c>
      <c r="E7" s="30"/>
      <c r="F7" s="741" t="s">
        <v>515</v>
      </c>
      <c r="G7" s="30" t="s">
        <v>511</v>
      </c>
      <c r="H7" s="30" t="s">
        <v>494</v>
      </c>
      <c r="I7" s="763" t="s">
        <v>1294</v>
      </c>
      <c r="J7" s="30" t="s">
        <v>492</v>
      </c>
      <c r="K7" s="30"/>
      <c r="L7" s="748">
        <v>9</v>
      </c>
      <c r="M7" s="749" t="s">
        <v>164</v>
      </c>
      <c r="N7" s="750">
        <v>0.3</v>
      </c>
      <c r="O7" s="751">
        <v>8</v>
      </c>
      <c r="P7" s="766" t="s">
        <v>165</v>
      </c>
      <c r="Q7" s="750">
        <v>0.25</v>
      </c>
      <c r="R7" s="30"/>
      <c r="S7" s="752" t="s">
        <v>1354</v>
      </c>
      <c r="T7" s="753" t="s">
        <v>789</v>
      </c>
      <c r="U7" s="765" t="s">
        <v>1303</v>
      </c>
      <c r="V7" s="755" t="s">
        <v>1233</v>
      </c>
      <c r="W7" s="756" t="s">
        <v>1220</v>
      </c>
      <c r="X7" s="757">
        <v>0.15</v>
      </c>
      <c r="Y7" s="268"/>
      <c r="Z7" s="251"/>
      <c r="AA7" s="268"/>
      <c r="AB7" s="264" t="s">
        <v>516</v>
      </c>
      <c r="AC7" s="1703" t="s">
        <v>517</v>
      </c>
      <c r="AD7" s="1703"/>
      <c r="AE7" s="30"/>
      <c r="AF7" s="275" t="s">
        <v>518</v>
      </c>
      <c r="AG7" s="30"/>
      <c r="AH7" s="767" t="s">
        <v>1304</v>
      </c>
      <c r="AI7" t="s">
        <v>1305</v>
      </c>
      <c r="AJ7" t="str">
        <f t="shared" si="0"/>
        <v>O1003 Inversiones Temporales</v>
      </c>
      <c r="AL7" s="761"/>
      <c r="AO7" s="767">
        <v>41003</v>
      </c>
      <c r="AP7" t="s">
        <v>1305</v>
      </c>
      <c r="AQ7" t="str">
        <f t="shared" si="1"/>
        <v>41003 Inversiones Temporales</v>
      </c>
      <c r="AV7" s="759" t="s">
        <v>1306</v>
      </c>
      <c r="AW7" s="759">
        <v>0</v>
      </c>
    </row>
    <row r="8" spans="1:49" ht="48" customHeight="1" x14ac:dyDescent="0.25">
      <c r="A8" s="30"/>
      <c r="B8" s="30">
        <v>12102</v>
      </c>
      <c r="C8" s="30" t="s">
        <v>315</v>
      </c>
      <c r="D8" s="30" t="s">
        <v>522</v>
      </c>
      <c r="E8" s="30"/>
      <c r="F8" s="741" t="s">
        <v>523</v>
      </c>
      <c r="G8" s="30" t="s">
        <v>511</v>
      </c>
      <c r="H8" s="30" t="s">
        <v>494</v>
      </c>
      <c r="I8" s="763" t="s">
        <v>1294</v>
      </c>
      <c r="J8" s="30" t="s">
        <v>492</v>
      </c>
      <c r="K8" s="30"/>
      <c r="L8" s="768">
        <v>10</v>
      </c>
      <c r="M8" s="766" t="s">
        <v>165</v>
      </c>
      <c r="N8" s="750">
        <v>0.25</v>
      </c>
      <c r="O8" s="764">
        <v>9</v>
      </c>
      <c r="P8" s="766" t="s">
        <v>165</v>
      </c>
      <c r="Q8" s="750">
        <v>0.25</v>
      </c>
      <c r="R8" s="30"/>
      <c r="S8" s="752" t="s">
        <v>1358</v>
      </c>
      <c r="T8" s="753" t="s">
        <v>788</v>
      </c>
      <c r="U8" s="754" t="s">
        <v>1232</v>
      </c>
      <c r="V8" s="755" t="s">
        <v>1253</v>
      </c>
      <c r="W8" s="756" t="s">
        <v>1307</v>
      </c>
      <c r="X8" s="757">
        <v>0.15</v>
      </c>
      <c r="Y8" s="268"/>
      <c r="Z8" s="251"/>
      <c r="AA8" s="268"/>
      <c r="AB8" s="268"/>
      <c r="AC8" s="268"/>
      <c r="AD8" s="268"/>
      <c r="AE8" s="30"/>
      <c r="AF8" s="275" t="s">
        <v>524</v>
      </c>
      <c r="AG8" s="30"/>
      <c r="AH8" s="762" t="s">
        <v>1308</v>
      </c>
      <c r="AI8" s="758" t="s">
        <v>1309</v>
      </c>
      <c r="AJ8" t="str">
        <f t="shared" si="0"/>
        <v>O11 INGRESOS CORRIENTES</v>
      </c>
      <c r="AL8" s="761"/>
      <c r="AO8" s="762">
        <v>411</v>
      </c>
      <c r="AP8" s="758" t="s">
        <v>1309</v>
      </c>
      <c r="AQ8" t="str">
        <f t="shared" si="1"/>
        <v>411 INGRESOS CORRIENTES</v>
      </c>
      <c r="AV8" s="759" t="s">
        <v>516</v>
      </c>
      <c r="AW8" s="759">
        <v>0</v>
      </c>
    </row>
    <row r="9" spans="1:49" ht="59.25" customHeight="1" x14ac:dyDescent="0.25">
      <c r="A9" s="30"/>
      <c r="B9" s="30">
        <v>12103</v>
      </c>
      <c r="C9" s="30" t="s">
        <v>317</v>
      </c>
      <c r="D9" s="30" t="s">
        <v>527</v>
      </c>
      <c r="E9" s="30"/>
      <c r="F9" s="741" t="s">
        <v>528</v>
      </c>
      <c r="G9" s="30" t="s">
        <v>484</v>
      </c>
      <c r="H9" s="30" t="s">
        <v>529</v>
      </c>
      <c r="I9" s="763"/>
      <c r="J9" s="30" t="s">
        <v>492</v>
      </c>
      <c r="K9" s="30"/>
      <c r="L9" s="748">
        <v>11</v>
      </c>
      <c r="M9" s="766" t="s">
        <v>165</v>
      </c>
      <c r="N9" s="750">
        <v>0.25</v>
      </c>
      <c r="O9" s="751">
        <v>10</v>
      </c>
      <c r="P9" s="766" t="s">
        <v>165</v>
      </c>
      <c r="Q9" s="750">
        <v>0.25</v>
      </c>
      <c r="R9" s="30"/>
      <c r="S9" s="752" t="s">
        <v>1567</v>
      </c>
      <c r="T9" s="753" t="s">
        <v>518</v>
      </c>
      <c r="U9" s="769" t="s">
        <v>1311</v>
      </c>
      <c r="V9" s="755" t="s">
        <v>1254</v>
      </c>
      <c r="W9" s="756" t="s">
        <v>1229</v>
      </c>
      <c r="X9" s="757">
        <v>0.15</v>
      </c>
      <c r="Y9" s="268"/>
      <c r="Z9" s="251"/>
      <c r="AA9" s="268"/>
      <c r="AB9" s="268"/>
      <c r="AC9" s="268"/>
      <c r="AD9" s="268"/>
      <c r="AE9" s="30"/>
      <c r="AF9" s="30"/>
      <c r="AG9" s="30"/>
      <c r="AH9" s="762" t="s">
        <v>1312</v>
      </c>
      <c r="AI9" t="s">
        <v>1313</v>
      </c>
      <c r="AJ9" t="str">
        <f t="shared" si="0"/>
        <v>O1101 Tributarios</v>
      </c>
      <c r="AO9" s="762">
        <v>41101</v>
      </c>
      <c r="AP9" t="s">
        <v>1313</v>
      </c>
      <c r="AQ9" t="str">
        <f t="shared" si="1"/>
        <v>41101 Tributarios</v>
      </c>
      <c r="AV9" s="759" t="s">
        <v>1393</v>
      </c>
      <c r="AW9" s="759" t="s">
        <v>1393</v>
      </c>
    </row>
    <row r="10" spans="1:49" ht="58.5" customHeight="1" x14ac:dyDescent="0.25">
      <c r="A10" s="30"/>
      <c r="B10" s="30">
        <v>12104</v>
      </c>
      <c r="C10" s="30" t="s">
        <v>319</v>
      </c>
      <c r="D10" s="30" t="s">
        <v>532</v>
      </c>
      <c r="E10" s="30"/>
      <c r="F10" s="741" t="s">
        <v>533</v>
      </c>
      <c r="G10" s="30" t="s">
        <v>511</v>
      </c>
      <c r="H10" s="30" t="s">
        <v>494</v>
      </c>
      <c r="I10" s="763" t="s">
        <v>1294</v>
      </c>
      <c r="J10" s="30" t="s">
        <v>492</v>
      </c>
      <c r="K10" s="30"/>
      <c r="L10" s="768">
        <v>12</v>
      </c>
      <c r="M10" s="766" t="s">
        <v>165</v>
      </c>
      <c r="N10" s="750">
        <v>0.25</v>
      </c>
      <c r="O10" s="764">
        <v>11</v>
      </c>
      <c r="P10" s="766" t="s">
        <v>165</v>
      </c>
      <c r="Q10" s="750">
        <v>0.25</v>
      </c>
      <c r="R10" s="30"/>
      <c r="S10" s="752" t="s">
        <v>1568</v>
      </c>
      <c r="T10" s="753" t="s">
        <v>524</v>
      </c>
      <c r="U10" s="765" t="s">
        <v>1315</v>
      </c>
      <c r="V10" s="755" t="s">
        <v>1316</v>
      </c>
      <c r="W10" s="756" t="s">
        <v>1317</v>
      </c>
      <c r="X10" s="757">
        <v>0.15</v>
      </c>
      <c r="Y10" s="268"/>
      <c r="Z10" s="251"/>
      <c r="AA10" s="268"/>
      <c r="AB10" s="268"/>
      <c r="AC10" s="268"/>
      <c r="AD10" s="268"/>
      <c r="AE10" s="30"/>
      <c r="AF10" s="30"/>
      <c r="AG10" s="30"/>
      <c r="AH10" s="762" t="s">
        <v>1318</v>
      </c>
      <c r="AI10" t="s">
        <v>1319</v>
      </c>
      <c r="AJ10" t="str">
        <f t="shared" si="0"/>
        <v>O1102 No Tributarios</v>
      </c>
      <c r="AO10" s="762">
        <v>41102</v>
      </c>
      <c r="AP10" t="s">
        <v>1319</v>
      </c>
      <c r="AQ10" t="str">
        <f t="shared" si="1"/>
        <v>41102 No Tributarios</v>
      </c>
    </row>
    <row r="11" spans="1:49" ht="48.75" customHeight="1" x14ac:dyDescent="0.25">
      <c r="A11" s="30"/>
      <c r="B11" s="30">
        <v>12105</v>
      </c>
      <c r="C11" s="30" t="s">
        <v>321</v>
      </c>
      <c r="D11" s="30" t="s">
        <v>536</v>
      </c>
      <c r="E11" s="30"/>
      <c r="F11" s="741" t="s">
        <v>537</v>
      </c>
      <c r="G11" s="30" t="s">
        <v>511</v>
      </c>
      <c r="H11" s="30" t="s">
        <v>538</v>
      </c>
      <c r="I11" s="763"/>
      <c r="J11" s="30" t="s">
        <v>492</v>
      </c>
      <c r="K11" s="30"/>
      <c r="L11" s="748">
        <v>13</v>
      </c>
      <c r="M11" s="766" t="s">
        <v>165</v>
      </c>
      <c r="N11" s="750">
        <v>0.25</v>
      </c>
      <c r="O11" s="751">
        <v>12</v>
      </c>
      <c r="P11" s="749" t="s">
        <v>166</v>
      </c>
      <c r="Q11" s="749">
        <v>0.2</v>
      </c>
      <c r="R11" s="30"/>
      <c r="S11" s="752" t="s">
        <v>1295</v>
      </c>
      <c r="U11" s="765" t="s">
        <v>1320</v>
      </c>
      <c r="V11" s="755" t="s">
        <v>1321</v>
      </c>
      <c r="W11" s="756" t="s">
        <v>1322</v>
      </c>
      <c r="X11" s="757">
        <v>0.15</v>
      </c>
      <c r="Y11" s="268"/>
      <c r="Z11" s="251"/>
      <c r="AA11" s="268"/>
      <c r="AB11" s="268"/>
      <c r="AC11" s="268"/>
      <c r="AD11" s="268"/>
      <c r="AE11" s="30"/>
      <c r="AF11" s="30"/>
      <c r="AG11" s="30"/>
      <c r="AH11" s="761" t="s">
        <v>1323</v>
      </c>
      <c r="AI11" s="758" t="s">
        <v>1324</v>
      </c>
      <c r="AJ11" t="str">
        <f t="shared" si="0"/>
        <v>O12 RECURSOS DE CAPITAL</v>
      </c>
      <c r="AL11" s="762"/>
      <c r="AM11" s="758"/>
      <c r="AO11" s="761">
        <v>412</v>
      </c>
      <c r="AP11" s="758" t="s">
        <v>1324</v>
      </c>
      <c r="AQ11" t="str">
        <f t="shared" si="1"/>
        <v>412 RECURSOS DE CAPITAL</v>
      </c>
    </row>
    <row r="12" spans="1:49" ht="43.5" customHeight="1" x14ac:dyDescent="0.25">
      <c r="A12" s="30"/>
      <c r="B12" s="30">
        <v>12106</v>
      </c>
      <c r="C12" s="30" t="s">
        <v>323</v>
      </c>
      <c r="D12" s="30" t="s">
        <v>542</v>
      </c>
      <c r="E12" s="30"/>
      <c r="F12" s="741" t="s">
        <v>543</v>
      </c>
      <c r="G12" s="30" t="s">
        <v>511</v>
      </c>
      <c r="H12" s="30" t="s">
        <v>544</v>
      </c>
      <c r="I12" s="763" t="s">
        <v>1294</v>
      </c>
      <c r="J12" s="30" t="s">
        <v>492</v>
      </c>
      <c r="K12" s="30"/>
      <c r="L12" s="768">
        <v>14</v>
      </c>
      <c r="M12" s="766" t="s">
        <v>165</v>
      </c>
      <c r="N12" s="750">
        <v>0.25</v>
      </c>
      <c r="O12" s="764">
        <v>13</v>
      </c>
      <c r="P12" s="749" t="s">
        <v>166</v>
      </c>
      <c r="Q12" s="749">
        <v>0.2</v>
      </c>
      <c r="R12" s="30"/>
      <c r="S12" s="752" t="s">
        <v>1299</v>
      </c>
      <c r="T12" s="753"/>
      <c r="U12" s="770" t="s">
        <v>1326</v>
      </c>
      <c r="V12" s="30"/>
      <c r="W12" s="756" t="s">
        <v>1327</v>
      </c>
      <c r="X12" s="268"/>
      <c r="Y12" s="268"/>
      <c r="Z12" s="251"/>
      <c r="AA12" s="268"/>
      <c r="AB12" s="268"/>
      <c r="AC12" s="268"/>
      <c r="AD12" s="268"/>
      <c r="AE12" s="30"/>
      <c r="AF12" s="30"/>
      <c r="AG12" s="30"/>
      <c r="AH12" t="s">
        <v>1328</v>
      </c>
      <c r="AI12" t="s">
        <v>1329</v>
      </c>
      <c r="AJ12" t="str">
        <f t="shared" si="0"/>
        <v>O1201 Disposición de activos</v>
      </c>
      <c r="AL12" s="762"/>
      <c r="AO12" s="762">
        <v>41201</v>
      </c>
      <c r="AP12" t="s">
        <v>1329</v>
      </c>
      <c r="AQ12" t="str">
        <f t="shared" si="1"/>
        <v>41201 Disposición de activos</v>
      </c>
      <c r="AV12" t="s">
        <v>1581</v>
      </c>
      <c r="AW12" t="s">
        <v>1571</v>
      </c>
    </row>
    <row r="13" spans="1:49" ht="40.5" customHeight="1" x14ac:dyDescent="0.25">
      <c r="A13" s="30"/>
      <c r="B13" s="30">
        <v>12107</v>
      </c>
      <c r="C13" s="30" t="s">
        <v>325</v>
      </c>
      <c r="D13" s="30" t="s">
        <v>545</v>
      </c>
      <c r="E13" s="30"/>
      <c r="F13" s="741" t="s">
        <v>546</v>
      </c>
      <c r="G13" s="30" t="s">
        <v>511</v>
      </c>
      <c r="H13" s="30" t="s">
        <v>547</v>
      </c>
      <c r="I13" s="763"/>
      <c r="J13" s="30" t="s">
        <v>492</v>
      </c>
      <c r="K13" s="30"/>
      <c r="L13" s="748">
        <v>15</v>
      </c>
      <c r="M13" s="749" t="s">
        <v>166</v>
      </c>
      <c r="N13" s="749">
        <v>0.2</v>
      </c>
      <c r="O13" s="751">
        <v>14</v>
      </c>
      <c r="P13" s="749" t="s">
        <v>166</v>
      </c>
      <c r="Q13" s="749">
        <v>0.2</v>
      </c>
      <c r="R13" s="30"/>
      <c r="S13" s="752" t="s">
        <v>1231</v>
      </c>
      <c r="U13" s="770" t="s">
        <v>1330</v>
      </c>
      <c r="V13" s="30"/>
      <c r="W13" s="756" t="s">
        <v>1331</v>
      </c>
      <c r="X13" s="268"/>
      <c r="Y13" s="268"/>
      <c r="Z13" s="251"/>
      <c r="AA13" s="268"/>
      <c r="AB13" s="268"/>
      <c r="AC13" s="268"/>
      <c r="AD13" s="268"/>
      <c r="AE13" s="30"/>
      <c r="AF13" s="30"/>
      <c r="AG13" s="30"/>
      <c r="AH13" t="s">
        <v>1332</v>
      </c>
      <c r="AI13" t="s">
        <v>1333</v>
      </c>
      <c r="AJ13" t="str">
        <f t="shared" si="0"/>
        <v>O1202 Excedentes financieros</v>
      </c>
      <c r="AL13" s="762"/>
      <c r="AO13" s="762">
        <v>41202</v>
      </c>
      <c r="AP13" t="s">
        <v>1333</v>
      </c>
      <c r="AQ13" t="str">
        <f t="shared" si="1"/>
        <v>41202 Excedentes financieros</v>
      </c>
      <c r="AW13" t="s">
        <v>1572</v>
      </c>
    </row>
    <row r="14" spans="1:49" ht="46.5" customHeight="1" x14ac:dyDescent="0.25">
      <c r="A14" s="30"/>
      <c r="B14" s="30">
        <v>12108</v>
      </c>
      <c r="C14" s="30" t="s">
        <v>327</v>
      </c>
      <c r="D14" s="30" t="s">
        <v>548</v>
      </c>
      <c r="E14" s="30"/>
      <c r="F14" s="1325" t="s">
        <v>1334</v>
      </c>
      <c r="G14" s="30" t="s">
        <v>511</v>
      </c>
      <c r="H14" s="30" t="s">
        <v>482</v>
      </c>
      <c r="I14" s="763"/>
      <c r="J14" s="30" t="s">
        <v>492</v>
      </c>
      <c r="K14" s="30"/>
      <c r="L14" s="768">
        <v>16</v>
      </c>
      <c r="M14" s="749" t="s">
        <v>166</v>
      </c>
      <c r="N14" s="749">
        <v>0.2</v>
      </c>
      <c r="O14" s="764">
        <v>15</v>
      </c>
      <c r="P14" s="749" t="s">
        <v>166</v>
      </c>
      <c r="Q14" s="749">
        <v>0.2</v>
      </c>
      <c r="R14" s="30"/>
      <c r="S14" s="752" t="s">
        <v>1292</v>
      </c>
      <c r="U14" s="770" t="s">
        <v>1336</v>
      </c>
      <c r="V14" s="30"/>
      <c r="W14" s="756" t="s">
        <v>1393</v>
      </c>
      <c r="X14" s="268"/>
      <c r="Y14" s="268"/>
      <c r="Z14" s="251"/>
      <c r="AA14" s="268"/>
      <c r="AB14" s="268"/>
      <c r="AC14" s="268"/>
      <c r="AD14" s="268"/>
      <c r="AE14" s="30"/>
      <c r="AF14" s="30"/>
      <c r="AG14" s="30"/>
      <c r="AH14" t="s">
        <v>1337</v>
      </c>
      <c r="AI14" t="s">
        <v>1338</v>
      </c>
      <c r="AJ14" t="str">
        <f t="shared" si="0"/>
        <v>O1203 Dividendos y utilidades por otras Inversiones de CAPITAL</v>
      </c>
      <c r="AL14" s="762"/>
      <c r="AO14" s="762">
        <v>41203</v>
      </c>
      <c r="AP14" t="s">
        <v>1338</v>
      </c>
      <c r="AQ14" t="str">
        <f t="shared" si="1"/>
        <v>41203 Dividendos y utilidades por otras Inversiones de CAPITAL</v>
      </c>
    </row>
    <row r="15" spans="1:49" ht="46.5" customHeight="1" x14ac:dyDescent="0.25">
      <c r="A15" s="30"/>
      <c r="B15" s="30">
        <v>12109</v>
      </c>
      <c r="C15" s="30" t="s">
        <v>329</v>
      </c>
      <c r="D15" s="30" t="s">
        <v>550</v>
      </c>
      <c r="E15" s="30"/>
      <c r="F15" s="741" t="s">
        <v>551</v>
      </c>
      <c r="G15" s="30" t="s">
        <v>511</v>
      </c>
      <c r="H15" s="30" t="s">
        <v>552</v>
      </c>
      <c r="I15" s="1322" t="s">
        <v>1294</v>
      </c>
      <c r="J15" s="30" t="s">
        <v>492</v>
      </c>
      <c r="K15" s="30"/>
      <c r="L15" s="748">
        <v>17</v>
      </c>
      <c r="M15" s="749" t="s">
        <v>166</v>
      </c>
      <c r="N15" s="749">
        <v>0.2</v>
      </c>
      <c r="O15" s="751">
        <v>16</v>
      </c>
      <c r="P15" s="749" t="s">
        <v>166</v>
      </c>
      <c r="Q15" s="749">
        <v>0.2</v>
      </c>
      <c r="R15" s="30"/>
      <c r="S15" s="752" t="s">
        <v>1224</v>
      </c>
      <c r="U15" s="770" t="s">
        <v>1340</v>
      </c>
      <c r="V15" s="30"/>
      <c r="W15" s="30"/>
      <c r="X15" s="30"/>
      <c r="Y15" s="30"/>
      <c r="Z15" s="30"/>
      <c r="AA15" s="30"/>
      <c r="AB15" s="30"/>
      <c r="AC15" s="30"/>
      <c r="AD15" s="30"/>
      <c r="AE15" s="30"/>
      <c r="AF15" s="30"/>
      <c r="AG15" s="30"/>
      <c r="AH15" t="s">
        <v>1341</v>
      </c>
      <c r="AI15" t="s">
        <v>1342</v>
      </c>
      <c r="AJ15" t="str">
        <f t="shared" si="0"/>
        <v>O1205 Rendimientos financieros</v>
      </c>
      <c r="AL15" s="762"/>
      <c r="AO15" s="762">
        <v>41205</v>
      </c>
      <c r="AP15" t="s">
        <v>1342</v>
      </c>
      <c r="AQ15" t="str">
        <f t="shared" si="1"/>
        <v>41205 Rendimientos financieros</v>
      </c>
      <c r="AV15" t="s">
        <v>1582</v>
      </c>
      <c r="AW15" t="s">
        <v>1583</v>
      </c>
    </row>
    <row r="16" spans="1:49" ht="38.25" customHeight="1" x14ac:dyDescent="0.25">
      <c r="A16" s="30"/>
      <c r="B16" s="30">
        <v>12110</v>
      </c>
      <c r="C16" s="30" t="s">
        <v>331</v>
      </c>
      <c r="D16" s="30" t="s">
        <v>496</v>
      </c>
      <c r="E16" s="30"/>
      <c r="F16" s="741" t="s">
        <v>553</v>
      </c>
      <c r="G16" s="30" t="s">
        <v>511</v>
      </c>
      <c r="H16" s="30" t="s">
        <v>554</v>
      </c>
      <c r="I16" s="763" t="s">
        <v>1294</v>
      </c>
      <c r="J16" s="30" t="s">
        <v>492</v>
      </c>
      <c r="K16" s="30"/>
      <c r="L16" s="768">
        <v>18</v>
      </c>
      <c r="M16" s="749" t="s">
        <v>166</v>
      </c>
      <c r="N16" s="749">
        <v>0.2</v>
      </c>
      <c r="O16" s="30"/>
      <c r="P16" s="30"/>
      <c r="Q16" s="30"/>
      <c r="R16" s="30"/>
      <c r="S16" s="752" t="s">
        <v>1325</v>
      </c>
      <c r="U16" s="770" t="s">
        <v>1344</v>
      </c>
      <c r="V16" s="30"/>
      <c r="W16" s="30"/>
      <c r="X16" s="30"/>
      <c r="Y16" s="30"/>
      <c r="Z16" s="30"/>
      <c r="AA16" s="30"/>
      <c r="AB16" s="30"/>
      <c r="AC16" s="30"/>
      <c r="AD16" s="30"/>
      <c r="AE16" s="30"/>
      <c r="AF16" s="30"/>
      <c r="AG16" s="30"/>
      <c r="AH16" t="s">
        <v>1345</v>
      </c>
      <c r="AI16" t="s">
        <v>1346</v>
      </c>
      <c r="AJ16" t="str">
        <f t="shared" si="0"/>
        <v>O1206 RECURSOS de crédito externo</v>
      </c>
      <c r="AL16" s="762"/>
      <c r="AO16" s="762">
        <v>41206</v>
      </c>
      <c r="AP16" t="s">
        <v>1346</v>
      </c>
      <c r="AQ16" t="str">
        <f t="shared" si="1"/>
        <v>41206 RECURSOS de crédito externo</v>
      </c>
      <c r="AW16" t="s">
        <v>1584</v>
      </c>
    </row>
    <row r="17" spans="1:49" ht="28.5" customHeight="1" x14ac:dyDescent="0.25">
      <c r="A17" s="30"/>
      <c r="B17" s="30">
        <v>12111</v>
      </c>
      <c r="C17" s="30" t="s">
        <v>333</v>
      </c>
      <c r="D17" s="30" t="s">
        <v>529</v>
      </c>
      <c r="E17" s="30"/>
      <c r="F17" s="741" t="s">
        <v>555</v>
      </c>
      <c r="G17" s="30" t="s">
        <v>511</v>
      </c>
      <c r="H17" s="30" t="s">
        <v>556</v>
      </c>
      <c r="I17" s="763" t="s">
        <v>1294</v>
      </c>
      <c r="J17" s="30" t="s">
        <v>492</v>
      </c>
      <c r="K17" s="30"/>
      <c r="L17" s="748">
        <v>19</v>
      </c>
      <c r="M17" s="749" t="s">
        <v>166</v>
      </c>
      <c r="N17" s="749">
        <v>0.2</v>
      </c>
      <c r="O17" s="30"/>
      <c r="P17" s="30"/>
      <c r="Q17" s="30"/>
      <c r="R17" s="30"/>
      <c r="S17" s="752" t="s">
        <v>1339</v>
      </c>
      <c r="U17" s="770" t="s">
        <v>1347</v>
      </c>
      <c r="V17" s="30"/>
      <c r="W17" s="30"/>
      <c r="X17" s="30"/>
      <c r="Y17" s="30"/>
      <c r="Z17" s="30"/>
      <c r="AA17" s="30"/>
      <c r="AB17" s="30"/>
      <c r="AC17" s="30"/>
      <c r="AD17" s="30"/>
      <c r="AE17" s="30"/>
      <c r="AF17" s="30"/>
      <c r="AG17" s="30"/>
      <c r="AH17" t="s">
        <v>1348</v>
      </c>
      <c r="AI17" t="s">
        <v>1349</v>
      </c>
      <c r="AJ17" t="str">
        <f t="shared" si="0"/>
        <v>O1207 RECURSOS de crédito interno</v>
      </c>
      <c r="AL17" s="762"/>
      <c r="AO17" s="762">
        <v>41207</v>
      </c>
      <c r="AP17" t="s">
        <v>1349</v>
      </c>
      <c r="AQ17" t="str">
        <f t="shared" si="1"/>
        <v>41207 RECURSOS de crédito interno</v>
      </c>
      <c r="AW17" t="s">
        <v>1585</v>
      </c>
    </row>
    <row r="18" spans="1:49" ht="26.25" customHeight="1" x14ac:dyDescent="0.25">
      <c r="A18" s="30"/>
      <c r="B18" s="30">
        <v>12112</v>
      </c>
      <c r="C18" s="30" t="s">
        <v>335</v>
      </c>
      <c r="D18" s="30" t="s">
        <v>557</v>
      </c>
      <c r="E18" s="30"/>
      <c r="F18" s="741" t="s">
        <v>558</v>
      </c>
      <c r="G18" s="30" t="s">
        <v>484</v>
      </c>
      <c r="H18" s="30" t="s">
        <v>557</v>
      </c>
      <c r="I18" s="763"/>
      <c r="J18" s="30" t="s">
        <v>492</v>
      </c>
      <c r="K18" s="30"/>
      <c r="L18" s="768">
        <v>20</v>
      </c>
      <c r="M18" s="749" t="s">
        <v>166</v>
      </c>
      <c r="N18" s="749">
        <v>0.2</v>
      </c>
      <c r="O18" s="30"/>
      <c r="P18" s="30"/>
      <c r="Q18" s="30"/>
      <c r="R18" s="30"/>
      <c r="S18" s="752" t="s">
        <v>1343</v>
      </c>
      <c r="T18" s="437"/>
      <c r="U18" s="770" t="s">
        <v>1351</v>
      </c>
      <c r="V18" s="30"/>
      <c r="W18" s="30"/>
      <c r="X18" s="30"/>
      <c r="Y18" s="30"/>
      <c r="Z18" s="30"/>
      <c r="AA18" s="30"/>
      <c r="AB18" s="30"/>
      <c r="AC18" s="30"/>
      <c r="AD18" s="30"/>
      <c r="AE18" s="30"/>
      <c r="AF18" s="30"/>
      <c r="AG18" s="30"/>
      <c r="AH18" t="s">
        <v>1352</v>
      </c>
      <c r="AI18" t="s">
        <v>1353</v>
      </c>
      <c r="AJ18" t="str">
        <f t="shared" si="0"/>
        <v>O1208 Transferencias de CAPITAL</v>
      </c>
      <c r="AL18" s="762"/>
      <c r="AO18" s="762">
        <v>41208</v>
      </c>
      <c r="AP18" t="s">
        <v>1353</v>
      </c>
      <c r="AQ18" t="str">
        <f t="shared" si="1"/>
        <v>41208 Transferencias de CAPITAL</v>
      </c>
      <c r="AW18" t="s">
        <v>1586</v>
      </c>
    </row>
    <row r="19" spans="1:49" ht="26.25" customHeight="1" x14ac:dyDescent="0.25">
      <c r="A19" s="30"/>
      <c r="B19" s="30">
        <v>12113</v>
      </c>
      <c r="C19" s="30" t="s">
        <v>337</v>
      </c>
      <c r="D19" s="30" t="s">
        <v>559</v>
      </c>
      <c r="E19" s="30"/>
      <c r="F19" s="741" t="s">
        <v>560</v>
      </c>
      <c r="G19" s="30" t="s">
        <v>511</v>
      </c>
      <c r="H19" s="30" t="s">
        <v>554</v>
      </c>
      <c r="I19" s="763" t="s">
        <v>1294</v>
      </c>
      <c r="J19" s="30" t="s">
        <v>492</v>
      </c>
      <c r="K19" s="30"/>
      <c r="L19" s="30"/>
      <c r="M19" s="30"/>
      <c r="N19" s="30"/>
      <c r="O19" s="30"/>
      <c r="P19" s="30"/>
      <c r="Q19" s="30"/>
      <c r="R19" s="30"/>
      <c r="S19" s="752" t="s">
        <v>1310</v>
      </c>
      <c r="T19" s="437"/>
      <c r="U19" s="770" t="s">
        <v>1355</v>
      </c>
      <c r="V19" s="30"/>
      <c r="W19" s="30"/>
      <c r="X19" s="30"/>
      <c r="Y19" s="30"/>
      <c r="Z19" s="30"/>
      <c r="AA19" s="30"/>
      <c r="AB19" s="30"/>
      <c r="AC19" s="30"/>
      <c r="AD19" s="30"/>
      <c r="AE19" s="30"/>
      <c r="AF19" s="30"/>
      <c r="AG19" s="30"/>
      <c r="AH19" s="771" t="s">
        <v>1356</v>
      </c>
      <c r="AI19" t="s">
        <v>1357</v>
      </c>
      <c r="AJ19" t="str">
        <f t="shared" si="0"/>
        <v>O1209 Recuperación de cartera</v>
      </c>
      <c r="AL19" s="761"/>
      <c r="AM19" s="758"/>
      <c r="AO19" s="772">
        <v>41209</v>
      </c>
      <c r="AP19" t="s">
        <v>1357</v>
      </c>
      <c r="AQ19" t="str">
        <f t="shared" si="1"/>
        <v>41209 Recuperación de cartera</v>
      </c>
      <c r="AW19" t="s">
        <v>1587</v>
      </c>
    </row>
    <row r="20" spans="1:49" ht="36.75" customHeight="1" x14ac:dyDescent="0.25">
      <c r="A20" s="30"/>
      <c r="B20" s="30">
        <v>12114</v>
      </c>
      <c r="C20" s="30" t="s">
        <v>339</v>
      </c>
      <c r="D20" s="30" t="s">
        <v>561</v>
      </c>
      <c r="E20" s="30"/>
      <c r="F20" s="741" t="s">
        <v>562</v>
      </c>
      <c r="G20" s="30" t="s">
        <v>511</v>
      </c>
      <c r="H20" s="30" t="s">
        <v>509</v>
      </c>
      <c r="I20" s="763" t="s">
        <v>1294</v>
      </c>
      <c r="J20" s="30" t="s">
        <v>492</v>
      </c>
      <c r="K20" s="30"/>
      <c r="L20" s="30"/>
      <c r="M20" s="30"/>
      <c r="N20" s="30"/>
      <c r="O20" s="30"/>
      <c r="P20" s="30"/>
      <c r="Q20" s="30"/>
      <c r="R20" s="30"/>
      <c r="S20" s="752" t="s">
        <v>1314</v>
      </c>
      <c r="T20" s="437"/>
      <c r="U20" s="770" t="s">
        <v>1359</v>
      </c>
      <c r="V20" s="30"/>
      <c r="W20" s="30"/>
      <c r="X20" s="30"/>
      <c r="Y20" s="30"/>
      <c r="Z20" s="30"/>
      <c r="AA20" s="30"/>
      <c r="AB20" s="30"/>
      <c r="AC20" s="30"/>
      <c r="AD20" s="30"/>
      <c r="AE20" s="30"/>
      <c r="AF20" s="30"/>
      <c r="AG20" s="30"/>
      <c r="AH20" t="s">
        <v>1360</v>
      </c>
      <c r="AI20" t="s">
        <v>1361</v>
      </c>
      <c r="AJ20" t="str">
        <f t="shared" si="0"/>
        <v>O1210 RECURSOS del balance</v>
      </c>
      <c r="AL20" s="762"/>
      <c r="AO20" s="762">
        <v>41210</v>
      </c>
      <c r="AP20" t="s">
        <v>1361</v>
      </c>
      <c r="AQ20" t="str">
        <f t="shared" si="1"/>
        <v>41210 RECURSOS del balance</v>
      </c>
    </row>
    <row r="21" spans="1:49" ht="25.5" x14ac:dyDescent="0.25">
      <c r="A21" s="30"/>
      <c r="B21" s="30">
        <v>12115</v>
      </c>
      <c r="C21" s="30" t="s">
        <v>341</v>
      </c>
      <c r="D21" s="30" t="s">
        <v>563</v>
      </c>
      <c r="E21" s="30"/>
      <c r="F21" s="741" t="s">
        <v>564</v>
      </c>
      <c r="G21" s="30" t="s">
        <v>511</v>
      </c>
      <c r="H21" s="30" t="s">
        <v>565</v>
      </c>
      <c r="I21" s="763" t="s">
        <v>1294</v>
      </c>
      <c r="J21" s="30" t="s">
        <v>492</v>
      </c>
      <c r="K21" s="30"/>
      <c r="L21" s="30"/>
      <c r="M21" s="30"/>
      <c r="N21" s="30"/>
      <c r="O21" s="30"/>
      <c r="P21" s="30"/>
      <c r="Q21" s="30"/>
      <c r="R21" s="30"/>
      <c r="S21" s="752" t="s">
        <v>1234</v>
      </c>
      <c r="T21" s="437"/>
      <c r="U21" s="752" t="s">
        <v>1363</v>
      </c>
      <c r="V21" s="30"/>
      <c r="W21" s="30"/>
      <c r="X21" s="30"/>
      <c r="Y21" s="30"/>
      <c r="Z21" s="30"/>
      <c r="AA21" s="30"/>
      <c r="AB21" s="30"/>
      <c r="AC21" s="30"/>
      <c r="AD21" s="30"/>
      <c r="AE21" s="30"/>
      <c r="AF21" s="30"/>
      <c r="AG21" s="30"/>
      <c r="AH21" t="s">
        <v>1364</v>
      </c>
      <c r="AI21" t="s">
        <v>1365</v>
      </c>
      <c r="AJ21" t="str">
        <f t="shared" si="0"/>
        <v>O1211 Diferencial cambiario</v>
      </c>
      <c r="AL21" s="762"/>
      <c r="AO21" s="762">
        <v>41211</v>
      </c>
      <c r="AP21" t="s">
        <v>1365</v>
      </c>
      <c r="AQ21" t="str">
        <f t="shared" si="1"/>
        <v>41211 Diferencial cambiario</v>
      </c>
    </row>
    <row r="22" spans="1:49" ht="25.5" x14ac:dyDescent="0.25">
      <c r="A22" s="30"/>
      <c r="B22" s="30">
        <v>12116</v>
      </c>
      <c r="C22" s="30" t="s">
        <v>343</v>
      </c>
      <c r="D22" s="30" t="s">
        <v>566</v>
      </c>
      <c r="E22" s="30"/>
      <c r="F22" s="741" t="s">
        <v>567</v>
      </c>
      <c r="G22" s="30" t="s">
        <v>511</v>
      </c>
      <c r="H22" s="30" t="s">
        <v>494</v>
      </c>
      <c r="I22" s="763" t="s">
        <v>1294</v>
      </c>
      <c r="J22" s="30" t="s">
        <v>492</v>
      </c>
      <c r="K22" s="30"/>
      <c r="L22" s="30"/>
      <c r="M22" s="30"/>
      <c r="N22" s="30"/>
      <c r="O22" s="30"/>
      <c r="P22" s="30"/>
      <c r="Q22" s="30"/>
      <c r="R22" s="30"/>
      <c r="S22" s="752" t="s">
        <v>1335</v>
      </c>
      <c r="T22" s="437"/>
      <c r="U22" s="770" t="s">
        <v>1366</v>
      </c>
      <c r="V22" s="30"/>
      <c r="W22" s="30"/>
      <c r="X22" s="30"/>
      <c r="Y22" s="30"/>
      <c r="Z22" s="30"/>
      <c r="AA22" s="30"/>
      <c r="AB22" s="30"/>
      <c r="AC22" s="30"/>
      <c r="AD22" s="30"/>
      <c r="AE22" s="30"/>
      <c r="AF22" s="30"/>
      <c r="AG22" s="30"/>
      <c r="AH22" t="s">
        <v>1367</v>
      </c>
      <c r="AI22" t="s">
        <v>1368</v>
      </c>
      <c r="AJ22" t="str">
        <f t="shared" si="0"/>
        <v>O1212 Retiros FONPET</v>
      </c>
      <c r="AL22" s="762"/>
      <c r="AO22" s="762">
        <v>41212</v>
      </c>
      <c r="AP22" t="s">
        <v>1368</v>
      </c>
      <c r="AQ22" t="str">
        <f t="shared" si="1"/>
        <v>41212 Retiros FONPET</v>
      </c>
    </row>
    <row r="23" spans="1:49" ht="30.75" customHeight="1" x14ac:dyDescent="0.25">
      <c r="A23" s="30"/>
      <c r="B23" s="30">
        <v>12117</v>
      </c>
      <c r="C23" s="30" t="s">
        <v>345</v>
      </c>
      <c r="D23" s="30" t="s">
        <v>568</v>
      </c>
      <c r="E23" s="30"/>
      <c r="F23" s="741" t="s">
        <v>569</v>
      </c>
      <c r="G23" s="30" t="s">
        <v>511</v>
      </c>
      <c r="H23" s="30" t="s">
        <v>554</v>
      </c>
      <c r="I23" s="763"/>
      <c r="J23" s="30" t="s">
        <v>492</v>
      </c>
      <c r="K23" s="30"/>
      <c r="L23" s="30"/>
      <c r="M23" s="30"/>
      <c r="N23" s="30"/>
      <c r="O23" s="30"/>
      <c r="P23" s="30"/>
      <c r="Q23" s="30"/>
      <c r="R23" s="30"/>
      <c r="S23" s="752" t="s">
        <v>1226</v>
      </c>
      <c r="T23" s="437"/>
      <c r="V23" s="30"/>
      <c r="W23" s="30"/>
      <c r="X23" s="30"/>
      <c r="Y23" s="30"/>
      <c r="Z23" s="30"/>
      <c r="AA23" s="30"/>
      <c r="AB23" s="30"/>
      <c r="AC23" s="30"/>
      <c r="AD23" s="30"/>
      <c r="AE23" s="30"/>
      <c r="AF23" s="30"/>
      <c r="AG23" s="30"/>
      <c r="AH23" t="s">
        <v>1369</v>
      </c>
      <c r="AI23" t="s">
        <v>1370</v>
      </c>
      <c r="AJ23" t="str">
        <f t="shared" si="0"/>
        <v>O1213 Reintegros y otros RECURSOS no apropiados</v>
      </c>
      <c r="AL23" s="762"/>
      <c r="AO23" s="762">
        <v>41213</v>
      </c>
      <c r="AP23" t="s">
        <v>1370</v>
      </c>
      <c r="AQ23" t="str">
        <f t="shared" si="1"/>
        <v>41213 Reintegros y otros RECURSOS no apropiados</v>
      </c>
    </row>
    <row r="24" spans="1:49" x14ac:dyDescent="0.25">
      <c r="A24" s="30"/>
      <c r="B24" s="30">
        <v>12118</v>
      </c>
      <c r="C24" s="30" t="s">
        <v>347</v>
      </c>
      <c r="D24" s="30" t="s">
        <v>570</v>
      </c>
      <c r="E24" s="30"/>
      <c r="F24" s="741" t="s">
        <v>571</v>
      </c>
      <c r="G24" s="30" t="s">
        <v>511</v>
      </c>
      <c r="H24" s="30" t="s">
        <v>494</v>
      </c>
      <c r="I24" s="763" t="s">
        <v>1294</v>
      </c>
      <c r="J24" s="30" t="s">
        <v>492</v>
      </c>
      <c r="K24" s="30"/>
      <c r="L24" s="30"/>
      <c r="M24" s="30"/>
      <c r="N24" s="30"/>
      <c r="O24" s="30"/>
      <c r="P24" s="30"/>
      <c r="Q24" s="30"/>
      <c r="R24" s="30"/>
      <c r="S24" s="752" t="s">
        <v>1350</v>
      </c>
      <c r="T24" s="437"/>
      <c r="U24" s="770"/>
      <c r="V24" s="30"/>
      <c r="W24" s="30"/>
      <c r="X24" s="30"/>
      <c r="Y24" s="30"/>
      <c r="Z24" s="30"/>
      <c r="AA24" s="30"/>
      <c r="AB24" s="30"/>
      <c r="AC24" s="30"/>
      <c r="AD24" s="30"/>
      <c r="AE24" s="30"/>
      <c r="AF24" s="30"/>
      <c r="AG24" s="30"/>
      <c r="AH24" s="761" t="s">
        <v>1371</v>
      </c>
      <c r="AI24" s="758" t="s">
        <v>1372</v>
      </c>
      <c r="AJ24" t="str">
        <f t="shared" si="0"/>
        <v>O122 Transferencias</v>
      </c>
      <c r="AL24" s="762"/>
      <c r="AO24" s="761">
        <v>4122</v>
      </c>
      <c r="AP24" s="758" t="s">
        <v>1372</v>
      </c>
      <c r="AQ24" t="str">
        <f t="shared" si="1"/>
        <v>4122 Transferencias</v>
      </c>
    </row>
    <row r="25" spans="1:49" x14ac:dyDescent="0.25">
      <c r="A25" s="30"/>
      <c r="B25" s="30">
        <v>12119</v>
      </c>
      <c r="C25" s="30" t="s">
        <v>349</v>
      </c>
      <c r="D25" s="30" t="s">
        <v>572</v>
      </c>
      <c r="E25" s="30"/>
      <c r="F25" s="741" t="s">
        <v>573</v>
      </c>
      <c r="G25" s="30" t="s">
        <v>484</v>
      </c>
      <c r="H25" s="30" t="s">
        <v>559</v>
      </c>
      <c r="I25" s="763"/>
      <c r="J25" s="30" t="s">
        <v>492</v>
      </c>
      <c r="K25" s="30"/>
      <c r="L25" s="30"/>
      <c r="M25" s="30"/>
      <c r="N25" s="30"/>
      <c r="O25" s="30"/>
      <c r="P25" s="30"/>
      <c r="Q25" s="30"/>
      <c r="R25" s="30"/>
      <c r="S25" s="752" t="s">
        <v>1227</v>
      </c>
      <c r="U25" s="770"/>
      <c r="V25" s="30"/>
      <c r="W25" s="30"/>
      <c r="X25" s="30"/>
      <c r="Y25" s="30"/>
      <c r="Z25" s="30"/>
      <c r="AA25" s="30"/>
      <c r="AB25" s="30"/>
      <c r="AC25" s="30"/>
      <c r="AD25" s="30"/>
      <c r="AE25" s="30"/>
      <c r="AF25" s="30"/>
      <c r="AG25" s="30"/>
      <c r="AH25" s="762" t="s">
        <v>1373</v>
      </c>
      <c r="AI25" t="s">
        <v>1374</v>
      </c>
      <c r="AJ25" t="str">
        <f t="shared" si="0"/>
        <v>O12201 Transferencias corrientes nacionales</v>
      </c>
      <c r="AL25" s="762"/>
      <c r="AO25" s="762">
        <v>412201</v>
      </c>
      <c r="AP25" t="s">
        <v>1374</v>
      </c>
      <c r="AQ25" t="str">
        <f t="shared" si="1"/>
        <v>412201 Transferencias corrientes nacionales</v>
      </c>
    </row>
    <row r="26" spans="1:49" x14ac:dyDescent="0.25">
      <c r="A26" s="30"/>
      <c r="B26" s="30">
        <v>12120</v>
      </c>
      <c r="C26" s="30" t="s">
        <v>351</v>
      </c>
      <c r="D26" s="30" t="s">
        <v>574</v>
      </c>
      <c r="E26" s="30"/>
      <c r="F26" s="741" t="s">
        <v>575</v>
      </c>
      <c r="G26" s="30" t="s">
        <v>576</v>
      </c>
      <c r="H26" s="30" t="s">
        <v>577</v>
      </c>
      <c r="I26" s="763" t="s">
        <v>143</v>
      </c>
      <c r="J26" s="30" t="s">
        <v>492</v>
      </c>
      <c r="K26" s="30"/>
      <c r="L26" s="30"/>
      <c r="M26" s="30"/>
      <c r="N26" s="30"/>
      <c r="O26" s="30"/>
      <c r="P26" s="30"/>
      <c r="Q26" s="30"/>
      <c r="R26" s="30"/>
      <c r="S26" s="752" t="s">
        <v>1219</v>
      </c>
      <c r="U26" s="770"/>
      <c r="V26" s="30"/>
      <c r="W26" s="30"/>
      <c r="X26" s="30"/>
      <c r="Y26" s="30"/>
      <c r="Z26" s="30"/>
      <c r="AA26" s="30"/>
      <c r="AB26" s="30"/>
      <c r="AC26" s="30"/>
      <c r="AD26" s="30"/>
      <c r="AE26" s="30"/>
      <c r="AF26" s="30"/>
      <c r="AG26" s="30"/>
      <c r="AH26" s="762" t="s">
        <v>1375</v>
      </c>
      <c r="AI26" t="s">
        <v>1376</v>
      </c>
      <c r="AJ26" t="str">
        <f t="shared" si="0"/>
        <v>O12202 Departamentales</v>
      </c>
      <c r="AL26" s="762"/>
      <c r="AO26" s="762">
        <v>412202</v>
      </c>
      <c r="AP26" t="s">
        <v>1376</v>
      </c>
      <c r="AQ26" t="str">
        <f t="shared" si="1"/>
        <v>412202 Departamentales</v>
      </c>
    </row>
    <row r="27" spans="1:49" x14ac:dyDescent="0.25">
      <c r="A27" s="30"/>
      <c r="B27" s="30">
        <v>130000</v>
      </c>
      <c r="C27" s="30" t="s">
        <v>353</v>
      </c>
      <c r="D27" s="30" t="s">
        <v>554</v>
      </c>
      <c r="E27" s="30"/>
      <c r="F27" s="741" t="s">
        <v>578</v>
      </c>
      <c r="G27" s="30" t="s">
        <v>511</v>
      </c>
      <c r="H27" s="30" t="s">
        <v>579</v>
      </c>
      <c r="I27" s="763"/>
      <c r="J27" s="30" t="s">
        <v>492</v>
      </c>
      <c r="K27" s="30"/>
      <c r="L27" s="30"/>
      <c r="M27" s="30"/>
      <c r="N27" s="30"/>
      <c r="O27" s="30"/>
      <c r="P27" s="30"/>
      <c r="Q27" s="30"/>
      <c r="R27" s="30"/>
      <c r="T27" s="437"/>
      <c r="U27" s="770"/>
      <c r="V27" s="30"/>
      <c r="W27" s="30"/>
      <c r="X27" s="30"/>
      <c r="Y27" s="30"/>
      <c r="Z27" s="30"/>
      <c r="AA27" s="30"/>
      <c r="AB27" s="30"/>
      <c r="AC27" s="30"/>
      <c r="AD27" s="30"/>
      <c r="AE27" s="30"/>
      <c r="AF27" s="30"/>
      <c r="AG27" s="30"/>
      <c r="AH27" s="762" t="s">
        <v>1377</v>
      </c>
      <c r="AI27" t="s">
        <v>1378</v>
      </c>
      <c r="AJ27" t="str">
        <f t="shared" si="0"/>
        <v>O12203 Distritales</v>
      </c>
      <c r="AL27" s="762"/>
      <c r="AO27" s="762">
        <v>412203</v>
      </c>
      <c r="AP27" t="s">
        <v>1378</v>
      </c>
      <c r="AQ27" t="str">
        <f t="shared" si="1"/>
        <v>412203 Distritales</v>
      </c>
    </row>
    <row r="28" spans="1:49" x14ac:dyDescent="0.25">
      <c r="A28" s="30"/>
      <c r="B28" s="30">
        <v>140000</v>
      </c>
      <c r="C28" s="30" t="s">
        <v>355</v>
      </c>
      <c r="D28" s="30" t="s">
        <v>544</v>
      </c>
      <c r="E28" s="30"/>
      <c r="F28" s="741" t="s">
        <v>580</v>
      </c>
      <c r="G28" s="30" t="s">
        <v>511</v>
      </c>
      <c r="H28" s="30" t="s">
        <v>577</v>
      </c>
      <c r="I28" s="763" t="s">
        <v>143</v>
      </c>
      <c r="J28" s="30" t="s">
        <v>492</v>
      </c>
      <c r="K28" s="30"/>
      <c r="L28" s="30"/>
      <c r="M28" s="30"/>
      <c r="N28" s="30"/>
      <c r="O28" s="30"/>
      <c r="P28" s="30"/>
      <c r="Q28" s="30"/>
      <c r="R28" s="30"/>
      <c r="T28" s="437"/>
      <c r="U28" s="770"/>
      <c r="V28" s="30"/>
      <c r="W28" s="30"/>
      <c r="X28" s="30"/>
      <c r="Y28" s="30"/>
      <c r="Z28" s="30"/>
      <c r="AA28" s="30"/>
      <c r="AB28" s="30"/>
      <c r="AC28" s="30"/>
      <c r="AD28" s="30"/>
      <c r="AE28" s="30"/>
      <c r="AF28" s="30"/>
      <c r="AG28" s="30"/>
      <c r="AH28" s="762" t="s">
        <v>1379</v>
      </c>
      <c r="AI28" t="s">
        <v>1380</v>
      </c>
      <c r="AJ28" t="str">
        <f t="shared" si="0"/>
        <v>O12204 Otras Transferencias</v>
      </c>
      <c r="AL28" s="762"/>
      <c r="AO28" s="762">
        <v>412204</v>
      </c>
      <c r="AP28" t="s">
        <v>1380</v>
      </c>
      <c r="AQ28" t="str">
        <f t="shared" si="1"/>
        <v>412204 Otras Transferencias</v>
      </c>
    </row>
    <row r="29" spans="1:49" x14ac:dyDescent="0.25">
      <c r="A29" s="30"/>
      <c r="B29" s="30">
        <v>150000</v>
      </c>
      <c r="C29" s="30" t="s">
        <v>357</v>
      </c>
      <c r="D29" s="30" t="s">
        <v>538</v>
      </c>
      <c r="E29" s="30"/>
      <c r="F29" s="741" t="s">
        <v>581</v>
      </c>
      <c r="G29" s="30" t="s">
        <v>484</v>
      </c>
      <c r="H29" s="30" t="s">
        <v>561</v>
      </c>
      <c r="I29" s="763"/>
      <c r="J29" s="30" t="s">
        <v>492</v>
      </c>
      <c r="K29" s="30"/>
      <c r="L29" s="30"/>
      <c r="M29" s="30"/>
      <c r="N29" s="30"/>
      <c r="O29" s="30"/>
      <c r="P29" s="30"/>
      <c r="Q29" s="30"/>
      <c r="R29" s="30"/>
      <c r="T29" s="437"/>
      <c r="U29" s="773"/>
      <c r="V29" s="30"/>
      <c r="W29" s="30"/>
      <c r="X29" s="30"/>
      <c r="Y29" s="30"/>
      <c r="Z29" s="30"/>
      <c r="AA29" s="30"/>
      <c r="AB29" s="30"/>
      <c r="AC29" s="30"/>
      <c r="AD29" s="30"/>
      <c r="AE29" s="30"/>
      <c r="AF29" s="30"/>
      <c r="AG29" s="30"/>
      <c r="AH29" s="762" t="s">
        <v>1381</v>
      </c>
      <c r="AI29" t="s">
        <v>1382</v>
      </c>
      <c r="AJ29" t="str">
        <f t="shared" si="0"/>
        <v>O15 Transferencias Administración Central</v>
      </c>
      <c r="AL29" s="762"/>
      <c r="AO29" s="762">
        <v>415</v>
      </c>
      <c r="AP29" t="s">
        <v>1382</v>
      </c>
      <c r="AQ29" t="str">
        <f t="shared" si="1"/>
        <v>415 Transferencias Administración Central</v>
      </c>
    </row>
    <row r="30" spans="1:49" x14ac:dyDescent="0.25">
      <c r="A30" s="30"/>
      <c r="B30" s="30">
        <v>190000</v>
      </c>
      <c r="C30" s="30" t="s">
        <v>359</v>
      </c>
      <c r="D30" s="30" t="s">
        <v>552</v>
      </c>
      <c r="E30" s="30"/>
      <c r="F30" s="741" t="s">
        <v>583</v>
      </c>
      <c r="G30" s="30" t="s">
        <v>484</v>
      </c>
      <c r="H30" s="30" t="s">
        <v>563</v>
      </c>
      <c r="I30" s="763"/>
      <c r="J30" s="30" t="s">
        <v>492</v>
      </c>
      <c r="K30" s="30"/>
      <c r="L30" s="30"/>
      <c r="M30" s="30"/>
      <c r="N30" s="30"/>
      <c r="O30" s="30"/>
      <c r="P30" s="30"/>
      <c r="Q30" s="30"/>
      <c r="R30" s="30"/>
      <c r="T30" s="437"/>
      <c r="U30" s="770"/>
      <c r="V30" s="30"/>
      <c r="W30" s="30"/>
      <c r="X30" s="30"/>
      <c r="Y30" s="30"/>
      <c r="Z30" s="30"/>
      <c r="AA30" s="30"/>
      <c r="AB30" s="30"/>
      <c r="AC30" s="30"/>
      <c r="AD30" s="30"/>
      <c r="AE30" s="30"/>
      <c r="AF30" s="30"/>
      <c r="AG30" s="30"/>
      <c r="AH30" s="762"/>
      <c r="AJ30" t="str">
        <f t="shared" si="0"/>
        <v xml:space="preserve"> </v>
      </c>
      <c r="AL30" s="762"/>
      <c r="AO30" s="762"/>
      <c r="AQ30" t="str">
        <f t="shared" si="1"/>
        <v xml:space="preserve"> </v>
      </c>
    </row>
    <row r="31" spans="1:49" ht="27" customHeight="1" x14ac:dyDescent="0.25">
      <c r="A31" s="30"/>
      <c r="B31" s="30">
        <v>200000</v>
      </c>
      <c r="C31" s="30" t="s">
        <v>361</v>
      </c>
      <c r="D31" s="30" t="s">
        <v>565</v>
      </c>
      <c r="E31" s="30"/>
      <c r="F31" s="741" t="s">
        <v>585</v>
      </c>
      <c r="G31" s="30" t="s">
        <v>484</v>
      </c>
      <c r="H31" s="30" t="s">
        <v>566</v>
      </c>
      <c r="I31" s="763"/>
      <c r="J31" s="30" t="s">
        <v>492</v>
      </c>
      <c r="K31" s="30"/>
      <c r="L31" s="30"/>
      <c r="M31" s="30"/>
      <c r="N31" s="30"/>
      <c r="O31" s="30"/>
      <c r="P31" s="30"/>
      <c r="Q31" s="30"/>
      <c r="R31" s="30"/>
      <c r="S31" s="254"/>
      <c r="T31" s="437"/>
      <c r="U31" s="770"/>
      <c r="V31" s="30"/>
      <c r="W31" s="30"/>
      <c r="X31" s="30"/>
      <c r="Y31" s="30"/>
      <c r="Z31" s="30"/>
      <c r="AA31" s="30"/>
      <c r="AB31" s="30"/>
      <c r="AC31" s="30"/>
      <c r="AD31" s="30"/>
      <c r="AE31" s="30"/>
      <c r="AF31" s="30"/>
      <c r="AG31" s="30"/>
      <c r="AH31" s="762"/>
      <c r="AJ31" t="str">
        <f t="shared" si="0"/>
        <v xml:space="preserve"> </v>
      </c>
      <c r="AO31" s="762"/>
      <c r="AQ31" t="str">
        <f t="shared" si="1"/>
        <v xml:space="preserve"> </v>
      </c>
    </row>
    <row r="32" spans="1:49" x14ac:dyDescent="0.25">
      <c r="A32" s="30"/>
      <c r="B32" s="30">
        <v>210000</v>
      </c>
      <c r="C32" s="30" t="s">
        <v>363</v>
      </c>
      <c r="D32" s="30" t="s">
        <v>119</v>
      </c>
      <c r="E32" s="30"/>
      <c r="F32" s="741" t="s">
        <v>587</v>
      </c>
      <c r="G32" s="30" t="s">
        <v>484</v>
      </c>
      <c r="H32" s="30" t="s">
        <v>568</v>
      </c>
      <c r="I32" s="763"/>
      <c r="J32" s="30" t="s">
        <v>492</v>
      </c>
      <c r="K32" s="30"/>
      <c r="L32" s="30"/>
      <c r="M32" s="30"/>
      <c r="N32" s="30"/>
      <c r="O32" s="30"/>
      <c r="P32" s="30"/>
      <c r="Q32" s="30"/>
      <c r="R32" s="30"/>
      <c r="S32" s="254"/>
      <c r="T32" s="437"/>
      <c r="U32" s="770"/>
      <c r="V32" s="30"/>
      <c r="W32" s="30"/>
      <c r="X32" s="30"/>
      <c r="Y32" s="30"/>
      <c r="Z32" s="30"/>
      <c r="AA32" s="30"/>
      <c r="AB32" s="30"/>
      <c r="AC32" s="30"/>
      <c r="AD32" s="30"/>
      <c r="AE32" s="30"/>
      <c r="AF32" s="30"/>
      <c r="AG32" s="30"/>
      <c r="AH32" s="758" t="s">
        <v>1383</v>
      </c>
      <c r="AI32" s="758"/>
      <c r="AJ32" t="str">
        <f t="shared" si="0"/>
        <v xml:space="preserve">CÓDIGO GASTOS </v>
      </c>
      <c r="AO32" s="758" t="s">
        <v>1383</v>
      </c>
      <c r="AP32" s="758"/>
      <c r="AQ32" t="str">
        <f t="shared" si="1"/>
        <v xml:space="preserve">CÓDIGO GASTOS </v>
      </c>
    </row>
    <row r="33" spans="1:43" x14ac:dyDescent="0.25">
      <c r="A33" s="30"/>
      <c r="B33" s="30">
        <v>220000</v>
      </c>
      <c r="C33" s="30" t="s">
        <v>365</v>
      </c>
      <c r="D33" s="30" t="s">
        <v>556</v>
      </c>
      <c r="E33" s="30"/>
      <c r="F33" s="741" t="s">
        <v>588</v>
      </c>
      <c r="G33" s="30" t="s">
        <v>484</v>
      </c>
      <c r="H33" s="30" t="s">
        <v>570</v>
      </c>
      <c r="I33" s="763"/>
      <c r="J33" s="30" t="s">
        <v>492</v>
      </c>
      <c r="K33" s="30"/>
      <c r="L33" s="30"/>
      <c r="M33" s="30"/>
      <c r="N33" s="30"/>
      <c r="O33" s="30"/>
      <c r="P33" s="30"/>
      <c r="Q33" s="30"/>
      <c r="R33" s="30"/>
      <c r="S33" s="254"/>
      <c r="T33" s="437"/>
      <c r="U33" s="770"/>
      <c r="V33" s="30"/>
      <c r="W33" s="30"/>
      <c r="X33" s="30"/>
      <c r="Y33" s="30"/>
      <c r="Z33" s="30"/>
      <c r="AA33" s="30"/>
      <c r="AB33" s="30"/>
      <c r="AC33" s="30"/>
      <c r="AD33" s="30"/>
      <c r="AE33" s="30"/>
      <c r="AF33" s="30"/>
      <c r="AG33" s="30"/>
      <c r="AH33" s="761" t="s">
        <v>1384</v>
      </c>
      <c r="AI33" s="758" t="s">
        <v>498</v>
      </c>
      <c r="AJ33" t="str">
        <f t="shared" si="0"/>
        <v>O2 GASTOS</v>
      </c>
      <c r="AL33" s="762"/>
      <c r="AO33" s="761">
        <v>42</v>
      </c>
      <c r="AP33" s="758" t="s">
        <v>498</v>
      </c>
      <c r="AQ33" t="str">
        <f t="shared" si="1"/>
        <v>42 GASTOS</v>
      </c>
    </row>
    <row r="34" spans="1:43" x14ac:dyDescent="0.25">
      <c r="A34" s="30"/>
      <c r="B34" s="30">
        <v>230000</v>
      </c>
      <c r="C34" s="30" t="s">
        <v>367</v>
      </c>
      <c r="D34" s="30" t="s">
        <v>577</v>
      </c>
      <c r="E34" s="30"/>
      <c r="F34" s="741" t="s">
        <v>589</v>
      </c>
      <c r="G34" s="30" t="s">
        <v>484</v>
      </c>
      <c r="H34" s="30" t="s">
        <v>572</v>
      </c>
      <c r="I34" s="763"/>
      <c r="J34" s="30" t="s">
        <v>492</v>
      </c>
      <c r="K34" s="30"/>
      <c r="L34" s="30"/>
      <c r="M34" s="30"/>
      <c r="N34" s="30"/>
      <c r="O34" s="30"/>
      <c r="P34" s="30"/>
      <c r="Q34" s="30"/>
      <c r="R34" s="30"/>
      <c r="S34" s="774"/>
      <c r="T34" s="437"/>
      <c r="U34" s="773"/>
      <c r="V34" s="30"/>
      <c r="W34" s="30"/>
      <c r="X34" s="30"/>
      <c r="Y34" s="30"/>
      <c r="Z34" s="30"/>
      <c r="AA34" s="30"/>
      <c r="AB34" s="30"/>
      <c r="AC34" s="30"/>
      <c r="AD34" s="30"/>
      <c r="AE34" s="30"/>
      <c r="AF34" s="30"/>
      <c r="AG34" s="30"/>
      <c r="AH34" s="761" t="s">
        <v>1385</v>
      </c>
      <c r="AI34" s="758" t="s">
        <v>1386</v>
      </c>
      <c r="AJ34" t="str">
        <f t="shared" si="0"/>
        <v>O21 GASTOS DE FUNCIONAMIENTO</v>
      </c>
      <c r="AL34" s="758"/>
      <c r="AM34" s="758"/>
      <c r="AO34" s="761">
        <v>421</v>
      </c>
      <c r="AP34" s="758" t="s">
        <v>1386</v>
      </c>
      <c r="AQ34" t="str">
        <f t="shared" si="1"/>
        <v>421 GASTOS DE FUNCIONAMIENTO</v>
      </c>
    </row>
    <row r="35" spans="1:43" x14ac:dyDescent="0.25">
      <c r="A35" s="30"/>
      <c r="B35" s="30">
        <v>80000</v>
      </c>
      <c r="C35" s="30" t="s">
        <v>369</v>
      </c>
      <c r="D35" s="30" t="s">
        <v>547</v>
      </c>
      <c r="E35" s="30"/>
      <c r="F35" s="741" t="s">
        <v>590</v>
      </c>
      <c r="G35" s="30" t="s">
        <v>484</v>
      </c>
      <c r="H35" s="30" t="s">
        <v>522</v>
      </c>
      <c r="I35" s="763"/>
      <c r="J35" s="30" t="s">
        <v>492</v>
      </c>
      <c r="K35" s="30"/>
      <c r="L35" s="30"/>
      <c r="M35" s="30"/>
      <c r="N35" s="30"/>
      <c r="O35" s="30"/>
      <c r="P35" s="30"/>
      <c r="Q35" s="30"/>
      <c r="R35" s="30"/>
      <c r="S35" s="774"/>
      <c r="T35" s="437"/>
      <c r="U35" s="773"/>
      <c r="V35" s="30"/>
      <c r="W35" s="30"/>
      <c r="X35" s="30"/>
      <c r="Y35" s="30"/>
      <c r="Z35" s="30"/>
      <c r="AA35" s="30"/>
      <c r="AB35" s="30"/>
      <c r="AC35" s="30"/>
      <c r="AD35" s="30"/>
      <c r="AE35" s="30"/>
      <c r="AF35" s="30"/>
      <c r="AG35" s="30"/>
      <c r="AH35" s="762" t="s">
        <v>1387</v>
      </c>
      <c r="AI35" t="s">
        <v>1388</v>
      </c>
      <c r="AJ35" t="str">
        <f t="shared" si="0"/>
        <v>O211 Gasto de personal</v>
      </c>
      <c r="AL35" s="761"/>
      <c r="AM35" s="758"/>
      <c r="AO35" s="762">
        <v>4211</v>
      </c>
      <c r="AP35" t="s">
        <v>1388</v>
      </c>
      <c r="AQ35" t="str">
        <f t="shared" si="1"/>
        <v>4211 Gasto de personal</v>
      </c>
    </row>
    <row r="36" spans="1:43" x14ac:dyDescent="0.25">
      <c r="A36" s="30"/>
      <c r="B36" s="30">
        <v>90000</v>
      </c>
      <c r="C36" s="30" t="s">
        <v>371</v>
      </c>
      <c r="D36" s="30" t="s">
        <v>579</v>
      </c>
      <c r="E36" s="30"/>
      <c r="F36" s="741" t="s">
        <v>591</v>
      </c>
      <c r="G36" s="30" t="s">
        <v>484</v>
      </c>
      <c r="H36" s="30" t="s">
        <v>574</v>
      </c>
      <c r="I36" s="763"/>
      <c r="J36" s="30" t="s">
        <v>492</v>
      </c>
      <c r="K36" s="30"/>
      <c r="L36" s="30"/>
      <c r="M36" s="30"/>
      <c r="N36" s="30"/>
      <c r="O36" s="30"/>
      <c r="P36" s="30"/>
      <c r="Q36" s="30"/>
      <c r="R36" s="30"/>
      <c r="S36" s="774"/>
      <c r="T36" s="437"/>
      <c r="U36" s="770"/>
      <c r="V36" s="30"/>
      <c r="W36" s="30"/>
      <c r="X36" s="30"/>
      <c r="Y36" s="30"/>
      <c r="Z36" s="30"/>
      <c r="AA36" s="30"/>
      <c r="AB36" s="30"/>
      <c r="AC36" s="30"/>
      <c r="AD36" s="30"/>
      <c r="AE36" s="30"/>
      <c r="AF36" s="30"/>
      <c r="AG36" s="30"/>
      <c r="AH36" t="s">
        <v>1389</v>
      </c>
      <c r="AI36" t="s">
        <v>1390</v>
      </c>
      <c r="AJ36" t="str">
        <f t="shared" si="0"/>
        <v>O21101 Planta de Personal permanente</v>
      </c>
      <c r="AL36" s="761"/>
      <c r="AM36" s="758"/>
      <c r="AO36" s="762">
        <v>421101</v>
      </c>
      <c r="AP36" t="s">
        <v>1390</v>
      </c>
      <c r="AQ36" t="str">
        <f t="shared" si="1"/>
        <v>421101 Planta de Personal permanente</v>
      </c>
    </row>
    <row r="37" spans="1:43" x14ac:dyDescent="0.25">
      <c r="A37" s="30"/>
      <c r="B37" s="30"/>
      <c r="C37" s="30"/>
      <c r="D37" s="30"/>
      <c r="E37" s="30"/>
      <c r="F37" s="741" t="s">
        <v>592</v>
      </c>
      <c r="G37" s="30" t="s">
        <v>593</v>
      </c>
      <c r="H37" s="30" t="s">
        <v>552</v>
      </c>
      <c r="I37" s="1322" t="s">
        <v>143</v>
      </c>
      <c r="J37" s="30" t="s">
        <v>492</v>
      </c>
      <c r="K37" s="30"/>
      <c r="L37" s="30"/>
      <c r="M37" s="30"/>
      <c r="N37" s="30"/>
      <c r="O37" s="30"/>
      <c r="P37" s="30"/>
      <c r="Q37" s="30"/>
      <c r="R37" s="30"/>
      <c r="S37" s="774"/>
      <c r="T37" s="437"/>
      <c r="U37" s="770"/>
      <c r="V37" s="30"/>
      <c r="W37" s="30"/>
      <c r="X37" s="30"/>
      <c r="Y37" s="30"/>
      <c r="Z37" s="30"/>
      <c r="AA37" s="30"/>
      <c r="AB37" s="30"/>
      <c r="AC37" s="30"/>
      <c r="AD37" s="30"/>
      <c r="AE37" s="30"/>
      <c r="AF37" s="30"/>
      <c r="AG37" s="30"/>
      <c r="AH37" t="s">
        <v>1391</v>
      </c>
      <c r="AI37" t="s">
        <v>1392</v>
      </c>
      <c r="AJ37" t="str">
        <f t="shared" si="0"/>
        <v>O21102 Personal supernumerario y Planta temporal</v>
      </c>
      <c r="AL37" s="762"/>
      <c r="AO37" s="762">
        <v>421102</v>
      </c>
      <c r="AP37" t="s">
        <v>1392</v>
      </c>
      <c r="AQ37" t="str">
        <f t="shared" si="1"/>
        <v>421102 Personal supernumerario y Planta temporal</v>
      </c>
    </row>
    <row r="38" spans="1:43" x14ac:dyDescent="0.25">
      <c r="A38" s="30"/>
      <c r="B38" s="30"/>
      <c r="C38" s="30"/>
      <c r="D38" s="30"/>
      <c r="E38" s="30"/>
      <c r="F38" s="741" t="s">
        <v>596</v>
      </c>
      <c r="G38" s="30" t="s">
        <v>1393</v>
      </c>
      <c r="H38" s="30" t="s">
        <v>554</v>
      </c>
      <c r="I38" s="763"/>
      <c r="J38" s="30" t="s">
        <v>492</v>
      </c>
      <c r="K38" s="30"/>
      <c r="L38" s="30"/>
      <c r="M38" s="30"/>
      <c r="N38" s="30"/>
      <c r="O38" s="30"/>
      <c r="P38" s="30"/>
      <c r="Q38" s="30"/>
      <c r="R38" s="30"/>
      <c r="S38" s="774"/>
      <c r="T38" s="437"/>
      <c r="U38" s="770"/>
      <c r="V38" s="30"/>
      <c r="W38" s="30"/>
      <c r="X38" s="30"/>
      <c r="Y38" s="30"/>
      <c r="Z38" s="30"/>
      <c r="AA38" s="30"/>
      <c r="AB38" s="30"/>
      <c r="AC38" s="30"/>
      <c r="AD38" s="30"/>
      <c r="AE38" s="30"/>
      <c r="AF38" s="30"/>
      <c r="AG38" s="30"/>
      <c r="AH38" s="762" t="s">
        <v>1394</v>
      </c>
      <c r="AI38" t="s">
        <v>1395</v>
      </c>
      <c r="AJ38" t="str">
        <f t="shared" si="0"/>
        <v>O212 Adquisición bienes y servicios</v>
      </c>
      <c r="AL38" s="762"/>
      <c r="AO38" s="762">
        <v>4212</v>
      </c>
      <c r="AP38" t="s">
        <v>1395</v>
      </c>
      <c r="AQ38" t="str">
        <f t="shared" si="1"/>
        <v>4212 Adquisición bienes y servicios</v>
      </c>
    </row>
    <row r="39" spans="1:43" x14ac:dyDescent="0.25">
      <c r="A39" s="30"/>
      <c r="B39" s="30"/>
      <c r="C39" s="30"/>
      <c r="D39" s="30"/>
      <c r="E39" s="30"/>
      <c r="F39" s="741" t="s">
        <v>598</v>
      </c>
      <c r="G39" s="30" t="s">
        <v>511</v>
      </c>
      <c r="H39" s="30" t="s">
        <v>554</v>
      </c>
      <c r="I39" s="763"/>
      <c r="J39" s="30" t="s">
        <v>492</v>
      </c>
      <c r="K39" s="30"/>
      <c r="L39" s="30"/>
      <c r="M39" s="30"/>
      <c r="N39" s="30"/>
      <c r="O39" s="30"/>
      <c r="P39" s="30"/>
      <c r="Q39" s="30"/>
      <c r="R39" s="30"/>
      <c r="S39" s="774"/>
      <c r="T39" s="437"/>
      <c r="U39" s="770"/>
      <c r="V39" s="30"/>
      <c r="W39" s="30"/>
      <c r="X39" s="30"/>
      <c r="Y39" s="30"/>
      <c r="Z39" s="30"/>
      <c r="AA39" s="30"/>
      <c r="AB39" s="30"/>
      <c r="AC39" s="30"/>
      <c r="AD39" s="30"/>
      <c r="AE39" s="30"/>
      <c r="AF39" s="30"/>
      <c r="AG39" s="30"/>
      <c r="AH39" t="s">
        <v>1396</v>
      </c>
      <c r="AI39" t="s">
        <v>1397</v>
      </c>
      <c r="AJ39" t="str">
        <f t="shared" si="0"/>
        <v>O21201 Adquisición de activos no financieros</v>
      </c>
      <c r="AL39" s="762"/>
      <c r="AO39" s="762">
        <v>421201</v>
      </c>
      <c r="AP39" t="s">
        <v>1397</v>
      </c>
      <c r="AQ39" t="str">
        <f t="shared" si="1"/>
        <v>421201 Adquisición de activos no financieros</v>
      </c>
    </row>
    <row r="40" spans="1:43" x14ac:dyDescent="0.25">
      <c r="A40" s="30"/>
      <c r="B40" s="30"/>
      <c r="C40" s="30"/>
      <c r="D40" s="30"/>
      <c r="E40" s="30"/>
      <c r="F40" s="741" t="s">
        <v>599</v>
      </c>
      <c r="G40" s="30" t="s">
        <v>593</v>
      </c>
      <c r="H40" s="30" t="s">
        <v>547</v>
      </c>
      <c r="I40" s="763"/>
      <c r="J40" s="30" t="s">
        <v>492</v>
      </c>
      <c r="K40" s="30"/>
      <c r="L40" s="30"/>
      <c r="M40" s="30" t="s">
        <v>1665</v>
      </c>
      <c r="N40" s="30"/>
      <c r="O40" s="30"/>
      <c r="P40" s="30"/>
      <c r="Q40" s="30"/>
      <c r="R40" s="30"/>
      <c r="S40" s="774"/>
      <c r="T40" s="437"/>
      <c r="U40" s="770"/>
      <c r="V40" s="30"/>
      <c r="W40" s="30"/>
      <c r="X40" s="30"/>
      <c r="Y40" s="30"/>
      <c r="Z40" s="30"/>
      <c r="AA40" s="30"/>
      <c r="AB40" s="30"/>
      <c r="AC40" s="30"/>
      <c r="AD40" s="30"/>
      <c r="AE40" s="30"/>
      <c r="AF40" s="30"/>
      <c r="AG40" s="30"/>
      <c r="AH40" t="s">
        <v>1398</v>
      </c>
      <c r="AI40" t="s">
        <v>1399</v>
      </c>
      <c r="AJ40" t="str">
        <f t="shared" si="0"/>
        <v>O21202 Adquisiciones diferentes de activos</v>
      </c>
      <c r="AL40" s="762"/>
      <c r="AO40" s="762">
        <v>421202</v>
      </c>
      <c r="AP40" t="s">
        <v>1399</v>
      </c>
      <c r="AQ40" t="str">
        <f t="shared" si="1"/>
        <v>421202 Adquisiciones diferentes de activos</v>
      </c>
    </row>
    <row r="41" spans="1:43" x14ac:dyDescent="0.25">
      <c r="A41" s="30"/>
      <c r="B41" s="30"/>
      <c r="C41" s="30"/>
      <c r="D41" s="30"/>
      <c r="E41" s="30"/>
      <c r="F41" s="741" t="s">
        <v>601</v>
      </c>
      <c r="G41" s="30" t="s">
        <v>1393</v>
      </c>
      <c r="H41" s="30" t="s">
        <v>554</v>
      </c>
      <c r="I41" s="763"/>
      <c r="J41" s="30" t="s">
        <v>492</v>
      </c>
      <c r="K41" s="30"/>
      <c r="L41" s="30"/>
      <c r="M41" s="30"/>
      <c r="N41" s="30"/>
      <c r="O41" s="30"/>
      <c r="P41" s="30"/>
      <c r="Q41" s="30"/>
      <c r="R41" s="30"/>
      <c r="S41" s="774"/>
      <c r="U41" s="770"/>
      <c r="V41" s="30"/>
      <c r="W41" s="30"/>
      <c r="X41" s="30"/>
      <c r="Y41" s="30"/>
      <c r="Z41" s="30"/>
      <c r="AA41" s="30"/>
      <c r="AB41" s="30"/>
      <c r="AC41" s="30"/>
      <c r="AD41" s="30"/>
      <c r="AE41" s="30"/>
      <c r="AF41" s="30"/>
      <c r="AG41" s="30"/>
      <c r="AH41" t="s">
        <v>1400</v>
      </c>
      <c r="AI41" t="s">
        <v>1401</v>
      </c>
      <c r="AJ41" t="str">
        <f t="shared" si="0"/>
        <v>O213 Transferencias CORRIENTES</v>
      </c>
      <c r="AL41" s="762"/>
      <c r="AO41" s="762">
        <v>4213</v>
      </c>
      <c r="AP41" t="s">
        <v>1401</v>
      </c>
      <c r="AQ41" t="str">
        <f t="shared" si="1"/>
        <v>4213 Transferencias CORRIENTES</v>
      </c>
    </row>
    <row r="42" spans="1:43" x14ac:dyDescent="0.25">
      <c r="A42" s="30"/>
      <c r="B42" s="30"/>
      <c r="C42" s="30"/>
      <c r="D42" s="30"/>
      <c r="E42" s="30"/>
      <c r="F42" s="741" t="s">
        <v>600</v>
      </c>
      <c r="G42" s="30" t="s">
        <v>595</v>
      </c>
      <c r="H42" s="30" t="s">
        <v>538</v>
      </c>
      <c r="I42" s="763"/>
      <c r="J42" s="30" t="s">
        <v>492</v>
      </c>
      <c r="K42" s="30"/>
      <c r="L42" s="30"/>
      <c r="M42" s="30"/>
      <c r="N42" s="30"/>
      <c r="O42" s="30"/>
      <c r="P42" s="30"/>
      <c r="Q42" s="30"/>
      <c r="R42" s="30"/>
      <c r="S42" s="285"/>
      <c r="T42" s="437"/>
      <c r="U42" s="770"/>
      <c r="V42" s="30"/>
      <c r="W42" s="30"/>
      <c r="X42" s="30"/>
      <c r="Y42" s="30"/>
      <c r="Z42" s="30"/>
      <c r="AA42" s="30"/>
      <c r="AB42" s="30"/>
      <c r="AC42" s="30"/>
      <c r="AD42" s="30"/>
      <c r="AE42" s="30"/>
      <c r="AF42" s="30"/>
      <c r="AG42" s="30"/>
      <c r="AH42" t="s">
        <v>1402</v>
      </c>
      <c r="AI42" t="s">
        <v>1403</v>
      </c>
      <c r="AJ42" t="str">
        <f t="shared" si="0"/>
        <v>O21304 A organizaciones nacionales</v>
      </c>
      <c r="AL42" s="761"/>
      <c r="AM42" s="758"/>
      <c r="AO42" s="762">
        <v>421304</v>
      </c>
      <c r="AP42" t="s">
        <v>1403</v>
      </c>
      <c r="AQ42" t="str">
        <f t="shared" si="1"/>
        <v>421304 A organizaciones nacionales</v>
      </c>
    </row>
    <row r="43" spans="1:43" x14ac:dyDescent="0.25">
      <c r="A43" s="30"/>
      <c r="B43" s="30"/>
      <c r="C43" s="30"/>
      <c r="D43" s="30"/>
      <c r="E43" s="30"/>
      <c r="F43" s="741" t="s">
        <v>605</v>
      </c>
      <c r="G43" s="30" t="s">
        <v>1393</v>
      </c>
      <c r="H43" s="30" t="s">
        <v>554</v>
      </c>
      <c r="I43" s="763"/>
      <c r="J43" s="30" t="s">
        <v>492</v>
      </c>
      <c r="K43" s="30"/>
      <c r="L43" s="30"/>
      <c r="M43" s="30"/>
      <c r="N43" s="30"/>
      <c r="O43" s="30"/>
      <c r="P43" s="30"/>
      <c r="Q43" s="30"/>
      <c r="R43" s="30"/>
      <c r="S43" s="285"/>
      <c r="T43" s="437"/>
      <c r="U43" s="770"/>
      <c r="V43" s="30"/>
      <c r="W43" s="30"/>
      <c r="X43" s="30"/>
      <c r="Y43" s="30"/>
      <c r="Z43" s="30"/>
      <c r="AA43" s="30"/>
      <c r="AB43" s="30"/>
      <c r="AC43" s="30"/>
      <c r="AD43" s="30"/>
      <c r="AE43" s="30"/>
      <c r="AF43" s="30"/>
      <c r="AG43" s="30"/>
      <c r="AH43" t="s">
        <v>1404</v>
      </c>
      <c r="AI43" t="s">
        <v>1405</v>
      </c>
      <c r="AJ43" t="str">
        <f t="shared" si="0"/>
        <v>O21305 A entidades del gobierno</v>
      </c>
      <c r="AL43" s="762"/>
      <c r="AO43" s="762">
        <v>421305</v>
      </c>
      <c r="AP43" t="s">
        <v>1405</v>
      </c>
      <c r="AQ43" t="str">
        <f t="shared" si="1"/>
        <v>421305 A entidades del gobierno</v>
      </c>
    </row>
    <row r="44" spans="1:43" x14ac:dyDescent="0.25">
      <c r="A44" s="30"/>
      <c r="B44" s="30"/>
      <c r="C44" s="30"/>
      <c r="D44" s="30"/>
      <c r="E44" s="30"/>
      <c r="F44" s="741" t="s">
        <v>603</v>
      </c>
      <c r="G44" s="30" t="s">
        <v>593</v>
      </c>
      <c r="H44" s="30" t="s">
        <v>554</v>
      </c>
      <c r="I44" s="763"/>
      <c r="J44" s="30" t="s">
        <v>492</v>
      </c>
      <c r="K44" s="30"/>
      <c r="L44" s="30"/>
      <c r="M44" s="30"/>
      <c r="N44" s="30"/>
      <c r="O44" s="30"/>
      <c r="P44" s="30"/>
      <c r="Q44" s="30"/>
      <c r="R44" s="30"/>
      <c r="S44" s="30"/>
      <c r="T44" s="437"/>
      <c r="U44" s="770"/>
      <c r="V44" s="30"/>
      <c r="W44" s="30"/>
      <c r="X44" s="30"/>
      <c r="Y44" s="30"/>
      <c r="Z44" s="30"/>
      <c r="AA44" s="30"/>
      <c r="AB44" s="30"/>
      <c r="AC44" s="30"/>
      <c r="AD44" s="30"/>
      <c r="AE44" s="30"/>
      <c r="AF44" s="30"/>
      <c r="AG44" s="30"/>
      <c r="AI44" t="s">
        <v>440</v>
      </c>
      <c r="AJ44" t="str">
        <f t="shared" si="0"/>
        <v xml:space="preserve"> Adquisición de activos financieros</v>
      </c>
      <c r="AL44" s="762"/>
      <c r="AP44" t="s">
        <v>440</v>
      </c>
      <c r="AQ44" t="str">
        <f t="shared" si="1"/>
        <v xml:space="preserve"> Adquisición de activos financieros</v>
      </c>
    </row>
    <row r="45" spans="1:43" x14ac:dyDescent="0.25">
      <c r="A45" s="30"/>
      <c r="B45" s="30"/>
      <c r="C45" s="30"/>
      <c r="D45" s="30"/>
      <c r="E45" s="30"/>
      <c r="F45" s="741" t="s">
        <v>608</v>
      </c>
      <c r="G45" s="30" t="s">
        <v>1393</v>
      </c>
      <c r="H45" s="30" t="s">
        <v>554</v>
      </c>
      <c r="I45" s="763"/>
      <c r="J45" s="30" t="s">
        <v>492</v>
      </c>
      <c r="K45" s="30"/>
      <c r="L45" s="30"/>
      <c r="M45" s="30"/>
      <c r="N45" s="30"/>
      <c r="O45" s="30"/>
      <c r="P45" s="30"/>
      <c r="Q45" s="30"/>
      <c r="R45" s="30"/>
      <c r="S45" s="30"/>
      <c r="T45" s="437"/>
      <c r="U45" s="775"/>
      <c r="V45" s="30"/>
      <c r="W45" s="30"/>
      <c r="X45" s="30"/>
      <c r="Y45" s="30"/>
      <c r="Z45" s="30"/>
      <c r="AA45" s="30"/>
      <c r="AB45" s="30"/>
      <c r="AC45" s="30"/>
      <c r="AD45" s="30"/>
      <c r="AE45" s="30"/>
      <c r="AF45" s="30"/>
      <c r="AG45" s="30"/>
      <c r="AH45" t="s">
        <v>1406</v>
      </c>
      <c r="AI45" t="s">
        <v>1407</v>
      </c>
      <c r="AJ45" t="str">
        <f t="shared" si="0"/>
        <v>O21314 Aportes al FONPET</v>
      </c>
      <c r="AL45" s="761"/>
      <c r="AM45" s="758"/>
      <c r="AO45" s="762">
        <v>421314</v>
      </c>
      <c r="AP45" t="s">
        <v>1407</v>
      </c>
      <c r="AQ45" t="str">
        <f t="shared" si="1"/>
        <v>421314 Aportes al FONPET</v>
      </c>
    </row>
    <row r="46" spans="1:43" x14ac:dyDescent="0.25">
      <c r="A46" s="30"/>
      <c r="B46" s="30"/>
      <c r="C46" s="30"/>
      <c r="D46" s="30"/>
      <c r="E46" s="30"/>
      <c r="F46" s="741" t="s">
        <v>610</v>
      </c>
      <c r="G46" s="30" t="s">
        <v>1393</v>
      </c>
      <c r="H46" s="30" t="s">
        <v>554</v>
      </c>
      <c r="I46" s="763"/>
      <c r="J46" s="30" t="s">
        <v>492</v>
      </c>
      <c r="K46" s="30"/>
      <c r="L46" s="30"/>
      <c r="M46" s="30"/>
      <c r="N46" s="30"/>
      <c r="O46" s="30"/>
      <c r="P46" s="30"/>
      <c r="Q46" s="30"/>
      <c r="R46" s="30"/>
      <c r="S46" s="30"/>
      <c r="T46" s="437"/>
      <c r="U46" s="775"/>
      <c r="V46" s="30"/>
      <c r="W46" s="30"/>
      <c r="X46" s="30"/>
      <c r="Y46" s="30"/>
      <c r="Z46" s="30"/>
      <c r="AA46" s="30"/>
      <c r="AB46" s="30"/>
      <c r="AC46" s="30"/>
      <c r="AD46" s="30"/>
      <c r="AE46" s="30"/>
      <c r="AF46" s="30"/>
      <c r="AG46" s="30"/>
      <c r="AH46" t="s">
        <v>1408</v>
      </c>
      <c r="AI46" t="s">
        <v>1409</v>
      </c>
      <c r="AJ46" t="str">
        <f t="shared" si="0"/>
        <v>O217 Disminución de Pasivos</v>
      </c>
      <c r="AL46" s="762"/>
      <c r="AM46" s="758"/>
      <c r="AO46" s="762">
        <v>4217</v>
      </c>
      <c r="AP46" t="s">
        <v>1409</v>
      </c>
      <c r="AQ46" t="str">
        <f t="shared" si="1"/>
        <v>4217 Disminución de Pasivos</v>
      </c>
    </row>
    <row r="47" spans="1:43" x14ac:dyDescent="0.25">
      <c r="A47" s="30"/>
      <c r="B47" s="30"/>
      <c r="C47" s="30"/>
      <c r="D47" s="30"/>
      <c r="E47" s="30"/>
      <c r="F47" s="741" t="s">
        <v>604</v>
      </c>
      <c r="G47" s="30" t="s">
        <v>593</v>
      </c>
      <c r="H47" s="30" t="s">
        <v>556</v>
      </c>
      <c r="I47" s="763" t="s">
        <v>143</v>
      </c>
      <c r="J47" s="30" t="s">
        <v>492</v>
      </c>
      <c r="K47" s="30"/>
      <c r="L47" s="30"/>
      <c r="M47" s="30"/>
      <c r="N47" s="30"/>
      <c r="O47" s="30"/>
      <c r="P47" s="30"/>
      <c r="Q47" s="30"/>
      <c r="R47" s="30"/>
      <c r="S47" s="30"/>
      <c r="T47" s="437"/>
      <c r="U47" s="775"/>
      <c r="V47" s="30"/>
      <c r="W47" s="30"/>
      <c r="X47" s="30"/>
      <c r="Y47" s="30"/>
      <c r="Z47" s="30"/>
      <c r="AA47" s="30"/>
      <c r="AB47" s="30"/>
      <c r="AC47" s="30"/>
      <c r="AD47" s="30"/>
      <c r="AE47" s="30"/>
      <c r="AF47" s="30"/>
      <c r="AG47" s="30"/>
      <c r="AH47" t="s">
        <v>1410</v>
      </c>
      <c r="AI47" t="s">
        <v>442</v>
      </c>
      <c r="AJ47" t="str">
        <f t="shared" si="0"/>
        <v>O218 Gastos por tributos, tasas, contribuciones, multas, sanciones e intereses de mora</v>
      </c>
      <c r="AL47" s="762"/>
      <c r="AO47" s="762">
        <v>4218</v>
      </c>
      <c r="AP47" t="s">
        <v>442</v>
      </c>
      <c r="AQ47" t="str">
        <f t="shared" si="1"/>
        <v>4218 Gastos por tributos, tasas, contribuciones, multas, sanciones e intereses de mora</v>
      </c>
    </row>
    <row r="48" spans="1:43" x14ac:dyDescent="0.25">
      <c r="A48" s="30"/>
      <c r="B48" s="30"/>
      <c r="C48" s="30"/>
      <c r="D48" s="30"/>
      <c r="E48" s="30"/>
      <c r="F48" s="741" t="s">
        <v>606</v>
      </c>
      <c r="G48" s="30" t="s">
        <v>593</v>
      </c>
      <c r="H48" s="30" t="s">
        <v>556</v>
      </c>
      <c r="I48" s="763" t="s">
        <v>143</v>
      </c>
      <c r="J48" s="30" t="s">
        <v>492</v>
      </c>
      <c r="K48" s="30"/>
      <c r="L48" s="30"/>
      <c r="M48" s="30"/>
      <c r="N48" s="30"/>
      <c r="O48" s="30"/>
      <c r="P48" s="30"/>
      <c r="Q48" s="30"/>
      <c r="R48" s="30"/>
      <c r="S48" s="30"/>
      <c r="T48" s="437"/>
      <c r="U48" s="775"/>
      <c r="V48" s="30"/>
      <c r="W48" s="30"/>
      <c r="X48" s="30"/>
      <c r="Y48" s="30"/>
      <c r="Z48" s="30"/>
      <c r="AA48" s="30"/>
      <c r="AB48" s="30"/>
      <c r="AC48" s="30"/>
      <c r="AD48" s="30"/>
      <c r="AE48" s="30"/>
      <c r="AF48" s="30"/>
      <c r="AG48" s="30"/>
      <c r="AH48" s="761" t="s">
        <v>1411</v>
      </c>
      <c r="AI48" s="758" t="s">
        <v>1412</v>
      </c>
      <c r="AJ48" t="str">
        <f t="shared" si="0"/>
        <v>O22 SERVICIO DE LA DEUDA PÚBLICA</v>
      </c>
      <c r="AL48" s="762"/>
      <c r="AO48" s="761">
        <v>422</v>
      </c>
      <c r="AP48" s="758" t="s">
        <v>1412</v>
      </c>
      <c r="AQ48" t="str">
        <f t="shared" si="1"/>
        <v>422 SERVICIO DE LA DEUDA PÚBLICA</v>
      </c>
    </row>
    <row r="49" spans="1:43" x14ac:dyDescent="0.25">
      <c r="A49" s="30"/>
      <c r="B49" s="30"/>
      <c r="C49" s="30"/>
      <c r="D49" s="30"/>
      <c r="E49" s="30"/>
      <c r="F49" s="741" t="s">
        <v>607</v>
      </c>
      <c r="G49" s="30" t="s">
        <v>593</v>
      </c>
      <c r="H49" s="30" t="s">
        <v>565</v>
      </c>
      <c r="I49" s="763"/>
      <c r="J49" s="30" t="s">
        <v>492</v>
      </c>
      <c r="K49" s="30"/>
      <c r="L49" s="30"/>
      <c r="M49" s="30"/>
      <c r="N49" s="30"/>
      <c r="O49" s="30"/>
      <c r="P49" s="30"/>
      <c r="Q49" s="30"/>
      <c r="R49" s="30"/>
      <c r="S49" s="30"/>
      <c r="U49" s="775"/>
      <c r="V49" s="30"/>
      <c r="W49" s="30"/>
      <c r="X49" s="30"/>
      <c r="Y49" s="30"/>
      <c r="Z49" s="30"/>
      <c r="AA49" s="30"/>
      <c r="AB49" s="30"/>
      <c r="AC49" s="30"/>
      <c r="AD49" s="30"/>
      <c r="AE49" s="30"/>
      <c r="AF49" s="30"/>
      <c r="AG49" s="30"/>
      <c r="AH49" s="761" t="s">
        <v>1413</v>
      </c>
      <c r="AI49" t="s">
        <v>1414</v>
      </c>
      <c r="AJ49" t="str">
        <f t="shared" si="0"/>
        <v>O221 Servicios de la deuda pública externa</v>
      </c>
      <c r="AL49" s="761"/>
      <c r="AM49" s="758"/>
      <c r="AO49" s="761">
        <v>4221</v>
      </c>
      <c r="AP49" t="s">
        <v>1414</v>
      </c>
      <c r="AQ49" t="str">
        <f t="shared" si="1"/>
        <v>4221 Servicios de la deuda pública externa</v>
      </c>
    </row>
    <row r="50" spans="1:43" x14ac:dyDescent="0.25">
      <c r="A50" s="30"/>
      <c r="B50" s="30"/>
      <c r="C50" s="30"/>
      <c r="D50" s="30"/>
      <c r="E50" s="30"/>
      <c r="F50" s="741" t="s">
        <v>609</v>
      </c>
      <c r="G50" s="30" t="s">
        <v>593</v>
      </c>
      <c r="H50" s="30" t="s">
        <v>556</v>
      </c>
      <c r="I50" s="763" t="s">
        <v>143</v>
      </c>
      <c r="J50" s="30" t="s">
        <v>492</v>
      </c>
      <c r="K50" s="30"/>
      <c r="L50" s="30"/>
      <c r="M50" s="30"/>
      <c r="N50" s="30"/>
      <c r="O50" s="30"/>
      <c r="P50" s="30"/>
      <c r="Q50" s="30"/>
      <c r="R50" s="30"/>
      <c r="S50" s="30"/>
      <c r="T50" s="437"/>
      <c r="U50" s="775"/>
      <c r="V50" s="30"/>
      <c r="W50" s="30"/>
      <c r="X50" s="30"/>
      <c r="Y50" s="30"/>
      <c r="Z50" s="30"/>
      <c r="AA50" s="30"/>
      <c r="AB50" s="30"/>
      <c r="AC50" s="30"/>
      <c r="AD50" s="30"/>
      <c r="AE50" s="30"/>
      <c r="AF50" s="30"/>
      <c r="AG50" s="30"/>
      <c r="AH50" t="s">
        <v>1415</v>
      </c>
      <c r="AI50" t="s">
        <v>1416</v>
      </c>
      <c r="AJ50" t="str">
        <f t="shared" si="0"/>
        <v>O22101 Principal</v>
      </c>
      <c r="AO50" s="762">
        <v>422101</v>
      </c>
      <c r="AP50" t="s">
        <v>1416</v>
      </c>
      <c r="AQ50" t="str">
        <f t="shared" si="1"/>
        <v>422101 Principal</v>
      </c>
    </row>
    <row r="51" spans="1:43" x14ac:dyDescent="0.25">
      <c r="A51" s="30"/>
      <c r="B51" s="30"/>
      <c r="C51" s="30"/>
      <c r="D51" s="30"/>
      <c r="E51" s="30"/>
      <c r="F51" s="741" t="s">
        <v>611</v>
      </c>
      <c r="G51" s="30" t="s">
        <v>593</v>
      </c>
      <c r="H51" s="30" t="s">
        <v>556</v>
      </c>
      <c r="I51" s="763" t="s">
        <v>143</v>
      </c>
      <c r="J51" s="30" t="s">
        <v>492</v>
      </c>
      <c r="K51" s="30"/>
      <c r="L51" s="30"/>
      <c r="M51" s="30"/>
      <c r="N51" s="30"/>
      <c r="O51" s="30"/>
      <c r="P51" s="30"/>
      <c r="Q51" s="30"/>
      <c r="R51" s="30"/>
      <c r="S51" s="30"/>
      <c r="T51" s="437"/>
      <c r="U51" s="775"/>
      <c r="V51" s="30"/>
      <c r="W51" s="30"/>
      <c r="X51" s="30"/>
      <c r="Y51" s="30"/>
      <c r="Z51" s="30"/>
      <c r="AA51" s="30"/>
      <c r="AB51" s="30"/>
      <c r="AC51" s="30"/>
      <c r="AD51" s="30"/>
      <c r="AE51" s="30"/>
      <c r="AF51" s="30"/>
      <c r="AG51" s="30"/>
      <c r="AH51" t="s">
        <v>1417</v>
      </c>
      <c r="AI51" t="s">
        <v>1418</v>
      </c>
      <c r="AJ51" t="str">
        <f t="shared" si="0"/>
        <v>O22102 Intereses</v>
      </c>
      <c r="AO51" s="762">
        <v>422102</v>
      </c>
      <c r="AP51" t="s">
        <v>1418</v>
      </c>
      <c r="AQ51" t="str">
        <f t="shared" si="1"/>
        <v>422102 Intereses</v>
      </c>
    </row>
    <row r="52" spans="1:43" x14ac:dyDescent="0.25">
      <c r="A52" s="30"/>
      <c r="B52" s="30"/>
      <c r="C52" s="30"/>
      <c r="D52" s="30"/>
      <c r="E52" s="30"/>
      <c r="F52" s="741" t="s">
        <v>612</v>
      </c>
      <c r="G52" s="30" t="s">
        <v>593</v>
      </c>
      <c r="H52" s="30" t="s">
        <v>554</v>
      </c>
      <c r="I52" s="763"/>
      <c r="J52" s="30" t="s">
        <v>492</v>
      </c>
      <c r="K52" s="30"/>
      <c r="L52" s="30"/>
      <c r="M52" s="30"/>
      <c r="N52" s="30"/>
      <c r="O52" s="30"/>
      <c r="P52" s="30"/>
      <c r="Q52" s="30"/>
      <c r="R52" s="30"/>
      <c r="S52" s="30"/>
      <c r="T52" s="437"/>
      <c r="U52" s="775"/>
      <c r="V52" s="30"/>
      <c r="W52" s="30"/>
      <c r="X52" s="30"/>
      <c r="Y52" s="30"/>
      <c r="Z52" s="30"/>
      <c r="AA52" s="30"/>
      <c r="AB52" s="30"/>
      <c r="AC52" s="30"/>
      <c r="AD52" s="30"/>
      <c r="AE52" s="30"/>
      <c r="AF52" s="30"/>
      <c r="AG52" s="30"/>
      <c r="AH52" s="761" t="s">
        <v>1419</v>
      </c>
      <c r="AI52" t="s">
        <v>1420</v>
      </c>
      <c r="AJ52" t="str">
        <f t="shared" si="0"/>
        <v>O222 Servicios de la deuda pública interna</v>
      </c>
      <c r="AO52" s="761">
        <v>4222</v>
      </c>
      <c r="AP52" t="s">
        <v>1420</v>
      </c>
      <c r="AQ52" t="str">
        <f t="shared" si="1"/>
        <v>4222 Servicios de la deuda pública interna</v>
      </c>
    </row>
    <row r="53" spans="1:43" x14ac:dyDescent="0.25">
      <c r="A53" s="30"/>
      <c r="B53" s="30"/>
      <c r="C53" s="30"/>
      <c r="D53" s="30"/>
      <c r="E53" s="30"/>
      <c r="F53" s="741" t="s">
        <v>613</v>
      </c>
      <c r="G53" s="30" t="s">
        <v>593</v>
      </c>
      <c r="H53" s="30" t="s">
        <v>544</v>
      </c>
      <c r="I53" s="763"/>
      <c r="J53" s="30" t="s">
        <v>492</v>
      </c>
      <c r="K53" s="30"/>
      <c r="L53" s="30"/>
      <c r="M53" s="30"/>
      <c r="N53" s="30"/>
      <c r="O53" s="30"/>
      <c r="P53" s="30"/>
      <c r="Q53" s="30"/>
      <c r="R53" s="30"/>
      <c r="S53" s="30"/>
      <c r="T53" s="437"/>
      <c r="U53" s="775"/>
      <c r="V53" s="30"/>
      <c r="W53" s="30"/>
      <c r="X53" s="30"/>
      <c r="Y53" s="30"/>
      <c r="Z53" s="30"/>
      <c r="AA53" s="30"/>
      <c r="AB53" s="30"/>
      <c r="AC53" s="30"/>
      <c r="AD53" s="30"/>
      <c r="AE53" s="30"/>
      <c r="AF53" s="30"/>
      <c r="AG53" s="30"/>
      <c r="AH53" t="s">
        <v>1421</v>
      </c>
      <c r="AI53" t="s">
        <v>1416</v>
      </c>
      <c r="AJ53" t="str">
        <f t="shared" si="0"/>
        <v>O22201 Principal</v>
      </c>
      <c r="AO53" s="762">
        <v>422201</v>
      </c>
      <c r="AP53" t="s">
        <v>1416</v>
      </c>
      <c r="AQ53" t="str">
        <f t="shared" si="1"/>
        <v>422201 Principal</v>
      </c>
    </row>
    <row r="54" spans="1:43" x14ac:dyDescent="0.25">
      <c r="A54" s="30"/>
      <c r="B54" s="30"/>
      <c r="C54" s="30"/>
      <c r="D54" s="30"/>
      <c r="E54" s="30"/>
      <c r="F54" s="741" t="s">
        <v>614</v>
      </c>
      <c r="G54" s="30" t="s">
        <v>593</v>
      </c>
      <c r="H54" s="30" t="s">
        <v>494</v>
      </c>
      <c r="I54" s="763"/>
      <c r="J54" s="30" t="s">
        <v>492</v>
      </c>
      <c r="K54" s="30"/>
      <c r="L54" s="30"/>
      <c r="M54" s="30"/>
      <c r="N54" s="30"/>
      <c r="O54" s="30"/>
      <c r="P54" s="30"/>
      <c r="Q54" s="30"/>
      <c r="R54" s="30"/>
      <c r="S54" s="30"/>
      <c r="T54" s="437"/>
      <c r="U54" s="254"/>
      <c r="V54" s="30"/>
      <c r="W54" s="30"/>
      <c r="X54" s="30"/>
      <c r="Y54" s="30"/>
      <c r="Z54" s="30"/>
      <c r="AA54" s="30"/>
      <c r="AB54" s="30"/>
      <c r="AC54" s="30"/>
      <c r="AD54" s="30"/>
      <c r="AE54" s="30"/>
      <c r="AF54" s="30"/>
      <c r="AG54" s="30"/>
      <c r="AH54" t="s">
        <v>1422</v>
      </c>
      <c r="AI54" t="s">
        <v>1418</v>
      </c>
      <c r="AJ54" t="str">
        <f t="shared" si="0"/>
        <v>O22202 Intereses</v>
      </c>
      <c r="AO54" s="762">
        <v>422202</v>
      </c>
      <c r="AP54" t="s">
        <v>1418</v>
      </c>
      <c r="AQ54" t="str">
        <f t="shared" si="1"/>
        <v>422202 Intereses</v>
      </c>
    </row>
    <row r="55" spans="1:43" x14ac:dyDescent="0.25">
      <c r="A55" s="30"/>
      <c r="B55" s="30"/>
      <c r="C55" s="30"/>
      <c r="D55" s="30"/>
      <c r="E55" s="30"/>
      <c r="F55" s="741" t="s">
        <v>615</v>
      </c>
      <c r="G55" s="30" t="s">
        <v>593</v>
      </c>
      <c r="H55" s="30" t="s">
        <v>552</v>
      </c>
      <c r="I55" s="1322" t="s">
        <v>143</v>
      </c>
      <c r="J55" s="30" t="s">
        <v>492</v>
      </c>
      <c r="K55" s="30"/>
      <c r="L55" s="30"/>
      <c r="M55" s="30"/>
      <c r="N55" s="30"/>
      <c r="O55" s="30"/>
      <c r="P55" s="30"/>
      <c r="Q55" s="30"/>
      <c r="R55" s="30"/>
      <c r="S55" s="30"/>
      <c r="T55" s="437"/>
      <c r="U55" s="775"/>
      <c r="V55" s="30"/>
      <c r="W55" s="30"/>
      <c r="X55" s="30"/>
      <c r="Y55" s="30"/>
      <c r="Z55" s="30"/>
      <c r="AA55" s="30"/>
      <c r="AB55" s="30"/>
      <c r="AC55" s="30"/>
      <c r="AD55" s="30"/>
      <c r="AE55" s="30"/>
      <c r="AF55" s="30"/>
      <c r="AG55" s="30"/>
      <c r="AH55" t="s">
        <v>1423</v>
      </c>
      <c r="AI55" t="s">
        <v>1424</v>
      </c>
      <c r="AJ55" t="str">
        <f t="shared" si="0"/>
        <v>O22203 Comisiones y otros GASTOS</v>
      </c>
      <c r="AL55" s="758"/>
      <c r="AO55" s="762">
        <v>422203</v>
      </c>
      <c r="AP55" t="s">
        <v>1424</v>
      </c>
      <c r="AQ55" t="str">
        <f t="shared" si="1"/>
        <v>422203 Comisiones y otros GASTOS</v>
      </c>
    </row>
    <row r="56" spans="1:43" x14ac:dyDescent="0.25">
      <c r="A56" s="30"/>
      <c r="B56" s="30"/>
      <c r="C56" s="30"/>
      <c r="D56" s="30"/>
      <c r="E56" s="30"/>
      <c r="F56" s="741" t="s">
        <v>616</v>
      </c>
      <c r="G56" s="30" t="s">
        <v>593</v>
      </c>
      <c r="H56" s="30" t="s">
        <v>556</v>
      </c>
      <c r="I56" s="763" t="s">
        <v>143</v>
      </c>
      <c r="J56" s="30" t="s">
        <v>492</v>
      </c>
      <c r="K56" s="30"/>
      <c r="L56" s="30"/>
      <c r="M56" s="30"/>
      <c r="N56" s="30"/>
      <c r="O56" s="30"/>
      <c r="P56" s="30"/>
      <c r="Q56" s="30"/>
      <c r="R56" s="30"/>
      <c r="S56" s="30"/>
      <c r="T56" s="776"/>
      <c r="U56" s="775"/>
      <c r="V56" s="30"/>
      <c r="W56" s="30"/>
      <c r="X56" s="30"/>
      <c r="Y56" s="30"/>
      <c r="Z56" s="30"/>
      <c r="AA56" s="30"/>
      <c r="AB56" s="30"/>
      <c r="AC56" s="30"/>
      <c r="AD56" s="30"/>
      <c r="AE56" s="30"/>
      <c r="AF56" s="30"/>
      <c r="AG56" s="30"/>
      <c r="AH56" s="761" t="s">
        <v>1425</v>
      </c>
      <c r="AI56" s="758" t="s">
        <v>1426</v>
      </c>
      <c r="AJ56" t="str">
        <f t="shared" si="0"/>
        <v>O23 INVERSIÓN</v>
      </c>
      <c r="AO56" s="761">
        <v>423</v>
      </c>
      <c r="AP56" s="758" t="s">
        <v>1426</v>
      </c>
      <c r="AQ56" t="str">
        <f t="shared" si="1"/>
        <v>423 INVERSIÓN</v>
      </c>
    </row>
    <row r="57" spans="1:43" x14ac:dyDescent="0.25">
      <c r="A57" s="30"/>
      <c r="B57" s="30"/>
      <c r="C57" s="30"/>
      <c r="D57" s="30"/>
      <c r="E57" s="30"/>
      <c r="F57" s="741" t="s">
        <v>392</v>
      </c>
      <c r="G57" s="30" t="s">
        <v>576</v>
      </c>
      <c r="H57" s="30" t="s">
        <v>538</v>
      </c>
      <c r="I57" s="763"/>
      <c r="J57" s="30" t="s">
        <v>492</v>
      </c>
      <c r="K57" s="30"/>
      <c r="L57" s="30"/>
      <c r="M57" s="30"/>
      <c r="N57" s="30"/>
      <c r="O57" s="30"/>
      <c r="P57" s="30"/>
      <c r="Q57" s="30"/>
      <c r="R57" s="30"/>
      <c r="S57" s="30"/>
      <c r="U57" s="775"/>
      <c r="V57" s="30"/>
      <c r="W57" s="30"/>
      <c r="X57" s="30"/>
      <c r="Y57" s="30"/>
      <c r="Z57" s="30"/>
      <c r="AA57" s="30"/>
      <c r="AB57" s="30"/>
      <c r="AC57" s="30"/>
      <c r="AD57" s="30"/>
      <c r="AE57" s="30"/>
      <c r="AF57" s="30"/>
      <c r="AG57" s="30"/>
      <c r="AH57" s="761" t="s">
        <v>1427</v>
      </c>
      <c r="AI57" s="758" t="s">
        <v>1428</v>
      </c>
      <c r="AJ57" t="str">
        <f t="shared" si="0"/>
        <v>O2301 Directa</v>
      </c>
      <c r="AO57" s="761">
        <v>42301</v>
      </c>
      <c r="AP57" s="758" t="s">
        <v>1428</v>
      </c>
      <c r="AQ57" t="str">
        <f t="shared" si="1"/>
        <v>42301 Directa</v>
      </c>
    </row>
    <row r="58" spans="1:43" x14ac:dyDescent="0.25">
      <c r="A58" s="30"/>
      <c r="B58" s="30"/>
      <c r="C58" s="30"/>
      <c r="D58" s="30"/>
      <c r="E58" s="30"/>
      <c r="F58" s="741" t="s">
        <v>393</v>
      </c>
      <c r="G58" s="30" t="s">
        <v>576</v>
      </c>
      <c r="H58" s="30" t="s">
        <v>547</v>
      </c>
      <c r="I58" s="763"/>
      <c r="J58" s="30" t="s">
        <v>492</v>
      </c>
      <c r="K58" s="30"/>
      <c r="L58" s="30"/>
      <c r="M58" s="30"/>
      <c r="N58" s="30"/>
      <c r="O58" s="30"/>
      <c r="P58" s="30"/>
      <c r="Q58" s="30"/>
      <c r="R58" s="30"/>
      <c r="S58" s="30"/>
      <c r="T58" s="437"/>
      <c r="U58" s="775"/>
      <c r="V58" s="30"/>
      <c r="W58" s="30"/>
      <c r="X58" s="30"/>
      <c r="Y58" s="30"/>
      <c r="Z58" s="30"/>
      <c r="AA58" s="30"/>
      <c r="AB58" s="30"/>
      <c r="AC58" s="30"/>
      <c r="AD58" s="30"/>
      <c r="AE58" s="30"/>
      <c r="AF58" s="30"/>
      <c r="AG58" s="30"/>
      <c r="AH58" t="s">
        <v>1429</v>
      </c>
      <c r="AI58" t="s">
        <v>1401</v>
      </c>
      <c r="AJ58" t="str">
        <f t="shared" si="0"/>
        <v>O233 Transferencias CORRIENTES</v>
      </c>
      <c r="AO58" s="762">
        <v>4233</v>
      </c>
      <c r="AP58" t="s">
        <v>1401</v>
      </c>
      <c r="AQ58" t="str">
        <f t="shared" si="1"/>
        <v>4233 Transferencias CORRIENTES</v>
      </c>
    </row>
    <row r="59" spans="1:43" x14ac:dyDescent="0.25">
      <c r="A59" s="30"/>
      <c r="B59" s="30"/>
      <c r="C59" s="30"/>
      <c r="D59" s="30"/>
      <c r="E59" s="30"/>
      <c r="F59" s="741" t="s">
        <v>394</v>
      </c>
      <c r="G59" s="30" t="s">
        <v>576</v>
      </c>
      <c r="H59" s="30" t="s">
        <v>119</v>
      </c>
      <c r="I59" s="763"/>
      <c r="J59" s="30" t="s">
        <v>492</v>
      </c>
      <c r="K59" s="30"/>
      <c r="L59" s="30"/>
      <c r="M59" s="30"/>
      <c r="N59" s="30"/>
      <c r="O59" s="30"/>
      <c r="P59" s="30"/>
      <c r="Q59" s="30"/>
      <c r="R59" s="30"/>
      <c r="S59" s="30"/>
      <c r="T59" s="437"/>
      <c r="U59" s="775"/>
      <c r="V59" s="30"/>
      <c r="W59" s="30"/>
      <c r="X59" s="30"/>
      <c r="Y59" s="30"/>
      <c r="Z59" s="30"/>
      <c r="AA59" s="30"/>
      <c r="AB59" s="30"/>
      <c r="AC59" s="30"/>
      <c r="AD59" s="30"/>
      <c r="AE59" s="30"/>
      <c r="AF59" s="30"/>
      <c r="AG59" s="30"/>
      <c r="AH59" t="s">
        <v>1430</v>
      </c>
      <c r="AI59" t="s">
        <v>1431</v>
      </c>
      <c r="AJ59" t="str">
        <f t="shared" si="0"/>
        <v>O23301 Subvenciones</v>
      </c>
      <c r="AO59" s="762">
        <v>423301</v>
      </c>
      <c r="AP59" t="s">
        <v>1431</v>
      </c>
      <c r="AQ59" t="str">
        <f t="shared" si="1"/>
        <v>423301 Subvenciones</v>
      </c>
    </row>
    <row r="60" spans="1:43" x14ac:dyDescent="0.25">
      <c r="A60" s="30"/>
      <c r="B60" s="30"/>
      <c r="C60" s="30"/>
      <c r="D60" s="30"/>
      <c r="E60" s="30"/>
      <c r="F60" s="741" t="s">
        <v>618</v>
      </c>
      <c r="G60" s="30" t="s">
        <v>593</v>
      </c>
      <c r="H60" s="30" t="s">
        <v>554</v>
      </c>
      <c r="I60" s="763"/>
      <c r="J60" s="30" t="s">
        <v>492</v>
      </c>
      <c r="K60" s="30"/>
      <c r="L60" s="30"/>
      <c r="M60" s="30"/>
      <c r="N60" s="30"/>
      <c r="O60" s="30"/>
      <c r="P60" s="30"/>
      <c r="Q60" s="30"/>
      <c r="R60" s="30"/>
      <c r="S60" s="30"/>
      <c r="U60" s="775"/>
      <c r="V60" s="30"/>
      <c r="W60" s="30"/>
      <c r="X60" s="30"/>
      <c r="Y60" s="30"/>
      <c r="Z60" s="30"/>
      <c r="AA60" s="30"/>
      <c r="AB60" s="30"/>
      <c r="AC60" s="30"/>
      <c r="AD60" s="30"/>
      <c r="AE60" s="30"/>
      <c r="AF60" s="30"/>
      <c r="AG60" s="30"/>
      <c r="AH60" t="s">
        <v>1432</v>
      </c>
      <c r="AI60" t="s">
        <v>1433</v>
      </c>
      <c r="AJ60" t="str">
        <f t="shared" si="0"/>
        <v>O23302 A empresas diferentes de subvenciones</v>
      </c>
      <c r="AL60" s="762"/>
      <c r="AM60" s="758"/>
      <c r="AO60" s="762">
        <v>423302</v>
      </c>
      <c r="AP60" t="s">
        <v>1433</v>
      </c>
      <c r="AQ60" t="str">
        <f t="shared" si="1"/>
        <v>423302 A empresas diferentes de subvenciones</v>
      </c>
    </row>
    <row r="61" spans="1:43" x14ac:dyDescent="0.25">
      <c r="A61" s="30"/>
      <c r="B61" s="30"/>
      <c r="C61" s="30"/>
      <c r="D61" s="30"/>
      <c r="E61" s="30"/>
      <c r="F61" s="741" t="s">
        <v>619</v>
      </c>
      <c r="G61" s="30" t="s">
        <v>623</v>
      </c>
      <c r="H61" s="30" t="s">
        <v>544</v>
      </c>
      <c r="I61" s="763"/>
      <c r="J61" s="30" t="s">
        <v>492</v>
      </c>
      <c r="K61" s="30"/>
      <c r="L61" s="30"/>
      <c r="M61" s="30"/>
      <c r="N61" s="30"/>
      <c r="O61" s="30"/>
      <c r="P61" s="30"/>
      <c r="Q61" s="30"/>
      <c r="R61" s="30"/>
      <c r="S61" s="30"/>
      <c r="T61" s="776" t="s">
        <v>1434</v>
      </c>
      <c r="U61" s="775"/>
      <c r="V61" s="30"/>
      <c r="W61" s="30"/>
      <c r="X61" s="30"/>
      <c r="Y61" s="30"/>
      <c r="Z61" s="30"/>
      <c r="AA61" s="30"/>
      <c r="AB61" s="30"/>
      <c r="AC61" s="30"/>
      <c r="AD61" s="30"/>
      <c r="AE61" s="30"/>
      <c r="AF61" s="30"/>
      <c r="AG61" s="30"/>
      <c r="AH61" t="s">
        <v>1435</v>
      </c>
      <c r="AI61" t="s">
        <v>1405</v>
      </c>
      <c r="AJ61" t="str">
        <f t="shared" si="0"/>
        <v>O23305 A entidades del gobierno</v>
      </c>
      <c r="AL61" s="762"/>
      <c r="AM61" s="758"/>
      <c r="AO61" s="762">
        <v>423305</v>
      </c>
      <c r="AP61" t="s">
        <v>1405</v>
      </c>
      <c r="AQ61" t="str">
        <f t="shared" si="1"/>
        <v>423305 A entidades del gobierno</v>
      </c>
    </row>
    <row r="62" spans="1:43" x14ac:dyDescent="0.25">
      <c r="A62" s="30"/>
      <c r="B62" s="30"/>
      <c r="C62" s="30"/>
      <c r="D62" s="30"/>
      <c r="E62" s="30"/>
      <c r="F62" s="741" t="s">
        <v>397</v>
      </c>
      <c r="G62" s="30" t="s">
        <v>625</v>
      </c>
      <c r="H62" s="30" t="s">
        <v>538</v>
      </c>
      <c r="I62" s="763"/>
      <c r="J62" s="30" t="s">
        <v>492</v>
      </c>
      <c r="K62" s="30"/>
      <c r="L62" s="30"/>
      <c r="M62" s="30"/>
      <c r="N62" s="30"/>
      <c r="O62" s="30"/>
      <c r="P62" s="30"/>
      <c r="Q62" s="30"/>
      <c r="R62" s="30"/>
      <c r="S62" s="30"/>
      <c r="T62" s="776" t="s">
        <v>1436</v>
      </c>
      <c r="U62" s="775"/>
      <c r="V62" s="30"/>
      <c r="W62" s="30"/>
      <c r="X62" s="30"/>
      <c r="Y62" s="30"/>
      <c r="Z62" s="30"/>
      <c r="AA62" s="30"/>
      <c r="AB62" s="30"/>
      <c r="AC62" s="30"/>
      <c r="AD62" s="30"/>
      <c r="AE62" s="30"/>
      <c r="AF62" s="30"/>
      <c r="AG62" s="30"/>
      <c r="AH62" t="s">
        <v>1437</v>
      </c>
      <c r="AI62" t="s">
        <v>1438</v>
      </c>
      <c r="AJ62" t="str">
        <f t="shared" si="0"/>
        <v>O23307 Prestaciones para cubrir riesgos sociales</v>
      </c>
      <c r="AL62" s="762"/>
      <c r="AM62" s="758"/>
      <c r="AO62" s="762">
        <v>423307</v>
      </c>
      <c r="AP62" t="s">
        <v>1438</v>
      </c>
      <c r="AQ62" t="str">
        <f t="shared" si="1"/>
        <v>423307 Prestaciones para cubrir riesgos sociales</v>
      </c>
    </row>
    <row r="63" spans="1:43" x14ac:dyDescent="0.25">
      <c r="A63" s="30"/>
      <c r="B63" s="30"/>
      <c r="C63" s="30"/>
      <c r="D63" s="30"/>
      <c r="E63" s="30"/>
      <c r="F63" s="741" t="s">
        <v>398</v>
      </c>
      <c r="G63" s="30" t="s">
        <v>625</v>
      </c>
      <c r="H63" s="30" t="s">
        <v>556</v>
      </c>
      <c r="I63" s="763" t="s">
        <v>143</v>
      </c>
      <c r="J63" s="30" t="s">
        <v>492</v>
      </c>
      <c r="K63" s="30"/>
      <c r="L63" s="30"/>
      <c r="M63" s="30"/>
      <c r="N63" s="30"/>
      <c r="O63" s="30"/>
      <c r="P63" s="30"/>
      <c r="Q63" s="30"/>
      <c r="R63" s="30"/>
      <c r="S63" s="30"/>
      <c r="T63" s="776" t="s">
        <v>1439</v>
      </c>
      <c r="U63" s="775"/>
      <c r="V63" s="30"/>
      <c r="W63" s="30"/>
      <c r="X63" s="30"/>
      <c r="Y63" s="30"/>
      <c r="Z63" s="30"/>
      <c r="AA63" s="30"/>
      <c r="AB63" s="30"/>
      <c r="AC63" s="30"/>
      <c r="AD63" s="30"/>
      <c r="AE63" s="30"/>
      <c r="AF63" s="30"/>
      <c r="AG63" s="30"/>
      <c r="AH63" t="s">
        <v>1440</v>
      </c>
      <c r="AI63" t="s">
        <v>1441</v>
      </c>
      <c r="AJ63" t="str">
        <f t="shared" si="0"/>
        <v>O23313 Sentencias y conciliaciones</v>
      </c>
      <c r="AL63" s="762"/>
      <c r="AM63" s="758"/>
      <c r="AO63" s="762">
        <v>423313</v>
      </c>
      <c r="AP63" t="s">
        <v>1441</v>
      </c>
      <c r="AQ63" t="str">
        <f t="shared" si="1"/>
        <v>423313 Sentencias y conciliaciones</v>
      </c>
    </row>
    <row r="64" spans="1:43" x14ac:dyDescent="0.25">
      <c r="A64" s="30"/>
      <c r="B64" s="30"/>
      <c r="C64" s="30"/>
      <c r="D64" s="30"/>
      <c r="E64" s="30"/>
      <c r="F64" s="741" t="s">
        <v>399</v>
      </c>
      <c r="G64" s="30" t="s">
        <v>625</v>
      </c>
      <c r="H64" s="30" t="s">
        <v>547</v>
      </c>
      <c r="I64" s="763"/>
      <c r="J64" s="30" t="s">
        <v>492</v>
      </c>
      <c r="K64" s="30"/>
      <c r="L64" s="30"/>
      <c r="M64" s="30"/>
      <c r="N64" s="30"/>
      <c r="O64" s="30"/>
      <c r="P64" s="30"/>
      <c r="Q64" s="30"/>
      <c r="R64" s="30"/>
      <c r="S64" s="30"/>
      <c r="T64" s="776" t="s">
        <v>1442</v>
      </c>
      <c r="U64" s="775"/>
      <c r="V64" s="30"/>
      <c r="W64" s="30"/>
      <c r="X64" s="30"/>
      <c r="Y64" s="30"/>
      <c r="Z64" s="30"/>
      <c r="AA64" s="30"/>
      <c r="AB64" s="30"/>
      <c r="AC64" s="30"/>
      <c r="AD64" s="30"/>
      <c r="AE64" s="30"/>
      <c r="AF64" s="30"/>
      <c r="AG64" s="30"/>
      <c r="AH64" t="s">
        <v>1443</v>
      </c>
      <c r="AI64" t="s">
        <v>1444</v>
      </c>
      <c r="AJ64" t="str">
        <f t="shared" si="0"/>
        <v>O234 Transferencias para INVERSIÓN</v>
      </c>
      <c r="AL64" s="762"/>
      <c r="AM64" s="758"/>
      <c r="AO64" s="762">
        <v>4234</v>
      </c>
      <c r="AP64" t="s">
        <v>1444</v>
      </c>
      <c r="AQ64" t="str">
        <f t="shared" si="1"/>
        <v>4234 Transferencias para INVERSIÓN</v>
      </c>
    </row>
    <row r="65" spans="1:43" x14ac:dyDescent="0.25">
      <c r="A65" s="30"/>
      <c r="B65" s="30"/>
      <c r="C65" s="30"/>
      <c r="D65" s="30"/>
      <c r="E65" s="30"/>
      <c r="F65" s="741" t="s">
        <v>400</v>
      </c>
      <c r="G65" s="30" t="s">
        <v>625</v>
      </c>
      <c r="H65" s="30" t="s">
        <v>554</v>
      </c>
      <c r="I65" s="763"/>
      <c r="J65" s="30" t="s">
        <v>492</v>
      </c>
      <c r="K65" s="30"/>
      <c r="L65" s="30"/>
      <c r="M65" s="30"/>
      <c r="N65" s="30"/>
      <c r="O65" s="30"/>
      <c r="P65" s="30"/>
      <c r="Q65" s="30"/>
      <c r="R65" s="30"/>
      <c r="S65" s="30"/>
      <c r="T65" s="776" t="s">
        <v>1445</v>
      </c>
      <c r="U65" s="775"/>
      <c r="V65" s="30"/>
      <c r="W65" s="30"/>
      <c r="X65" s="30"/>
      <c r="Y65" s="30"/>
      <c r="Z65" s="30"/>
      <c r="AA65" s="30"/>
      <c r="AB65" s="30"/>
      <c r="AC65" s="30"/>
      <c r="AD65" s="30"/>
      <c r="AE65" s="30"/>
      <c r="AF65" s="30"/>
      <c r="AG65" s="30"/>
      <c r="AH65" t="s">
        <v>1446</v>
      </c>
      <c r="AI65" t="s">
        <v>1447</v>
      </c>
      <c r="AJ65" t="str">
        <f t="shared" si="0"/>
        <v>O23401 Transferencia Distrital</v>
      </c>
      <c r="AO65" s="762">
        <v>423401</v>
      </c>
      <c r="AP65" t="s">
        <v>1447</v>
      </c>
      <c r="AQ65" t="str">
        <f t="shared" si="1"/>
        <v>423401 Transferencia Distrital</v>
      </c>
    </row>
    <row r="66" spans="1:43" x14ac:dyDescent="0.25">
      <c r="A66" s="30"/>
      <c r="B66" s="30"/>
      <c r="C66" s="30"/>
      <c r="D66" s="30"/>
      <c r="E66" s="30"/>
      <c r="F66" s="741" t="s">
        <v>401</v>
      </c>
      <c r="G66" s="30" t="s">
        <v>597</v>
      </c>
      <c r="H66" s="30" t="s">
        <v>119</v>
      </c>
      <c r="I66" s="763"/>
      <c r="J66" s="30" t="s">
        <v>492</v>
      </c>
      <c r="K66" s="30"/>
      <c r="L66" s="30"/>
      <c r="M66" s="30"/>
      <c r="N66" s="30"/>
      <c r="O66" s="30"/>
      <c r="P66" s="30"/>
      <c r="Q66" s="30"/>
      <c r="R66" s="30"/>
      <c r="S66" s="30"/>
      <c r="T66" s="776" t="s">
        <v>1448</v>
      </c>
      <c r="U66" s="775"/>
      <c r="V66" s="30"/>
      <c r="W66" s="30"/>
      <c r="X66" s="30"/>
      <c r="Y66" s="30"/>
      <c r="Z66" s="30"/>
      <c r="AA66" s="30"/>
      <c r="AB66" s="1705" t="s">
        <v>1449</v>
      </c>
      <c r="AC66" s="1705"/>
      <c r="AD66" s="30"/>
      <c r="AE66" s="30"/>
      <c r="AF66" s="30"/>
      <c r="AG66" s="30"/>
      <c r="AH66" s="761" t="s">
        <v>1450</v>
      </c>
      <c r="AI66" s="758" t="s">
        <v>1451</v>
      </c>
      <c r="AJ66" t="str">
        <f t="shared" si="0"/>
        <v>O4 DISPONIBILIDAD FINAL</v>
      </c>
      <c r="AO66" s="761">
        <v>44</v>
      </c>
      <c r="AP66" s="758" t="s">
        <v>1451</v>
      </c>
      <c r="AQ66" t="str">
        <f t="shared" si="1"/>
        <v>44 DISPONIBILIDAD FINAL</v>
      </c>
    </row>
    <row r="67" spans="1:43" x14ac:dyDescent="0.25">
      <c r="A67" s="30"/>
      <c r="B67" s="30"/>
      <c r="C67" s="30"/>
      <c r="D67" s="30"/>
      <c r="E67" s="30"/>
      <c r="F67" s="741" t="s">
        <v>402</v>
      </c>
      <c r="G67" s="30" t="s">
        <v>625</v>
      </c>
      <c r="H67" s="30" t="s">
        <v>119</v>
      </c>
      <c r="I67" s="763"/>
      <c r="J67" s="30" t="s">
        <v>492</v>
      </c>
      <c r="K67" s="30"/>
      <c r="L67" s="30"/>
      <c r="M67" s="30"/>
      <c r="N67" s="30"/>
      <c r="O67" s="30"/>
      <c r="P67" s="30"/>
      <c r="Q67" s="30"/>
      <c r="R67" s="30"/>
      <c r="S67" s="30"/>
      <c r="U67" s="775"/>
      <c r="V67" s="30"/>
      <c r="W67" s="30"/>
      <c r="X67" s="30"/>
      <c r="Y67" s="30"/>
      <c r="Z67" s="30"/>
      <c r="AA67" s="30"/>
      <c r="AB67" s="30"/>
      <c r="AC67" s="30"/>
      <c r="AD67" s="30"/>
      <c r="AE67" s="30"/>
      <c r="AF67" s="30"/>
      <c r="AG67" s="30"/>
      <c r="AJ67" t="str">
        <f t="shared" si="0"/>
        <v xml:space="preserve"> </v>
      </c>
      <c r="AQ67" t="str">
        <f t="shared" si="1"/>
        <v xml:space="preserve"> </v>
      </c>
    </row>
    <row r="68" spans="1:43" x14ac:dyDescent="0.25">
      <c r="A68" s="30"/>
      <c r="B68" s="30"/>
      <c r="C68" s="30"/>
      <c r="D68" s="30"/>
      <c r="E68" s="30"/>
      <c r="F68" s="741" t="s">
        <v>403</v>
      </c>
      <c r="G68" s="30" t="s">
        <v>625</v>
      </c>
      <c r="H68" s="30" t="s">
        <v>547</v>
      </c>
      <c r="I68" s="763"/>
      <c r="J68" s="30" t="s">
        <v>492</v>
      </c>
      <c r="K68" s="30"/>
      <c r="L68" s="30"/>
      <c r="M68" s="30"/>
      <c r="N68" s="30"/>
      <c r="O68" s="30"/>
      <c r="P68" s="30"/>
      <c r="Q68" s="30"/>
      <c r="R68" s="30"/>
      <c r="S68" s="30"/>
      <c r="U68" s="775"/>
      <c r="V68" s="30"/>
      <c r="W68" s="30"/>
      <c r="X68" s="30"/>
      <c r="Y68" s="30"/>
      <c r="Z68" s="30"/>
      <c r="AA68" s="30"/>
      <c r="AB68" s="777" t="s">
        <v>780</v>
      </c>
      <c r="AC68" s="406" t="s">
        <v>781</v>
      </c>
      <c r="AE68" s="30"/>
      <c r="AF68" s="30"/>
      <c r="AG68" s="30"/>
      <c r="AH68" s="758" t="s">
        <v>1452</v>
      </c>
      <c r="AJ68" t="str">
        <f t="shared" si="0"/>
        <v xml:space="preserve">CÓDIGO OTROS GASTOS </v>
      </c>
      <c r="AO68" s="758" t="s">
        <v>1452</v>
      </c>
      <c r="AQ68" t="str">
        <f t="shared" si="1"/>
        <v xml:space="preserve">CÓDIGO OTROS GASTOS </v>
      </c>
    </row>
    <row r="69" spans="1:43" ht="14.65" customHeight="1" x14ac:dyDescent="0.25">
      <c r="A69" s="30"/>
      <c r="B69" s="30"/>
      <c r="C69" s="30"/>
      <c r="D69" s="30"/>
      <c r="E69" s="30"/>
      <c r="F69" s="1326" t="s">
        <v>626</v>
      </c>
      <c r="G69" s="297" t="s">
        <v>621</v>
      </c>
      <c r="H69" s="30" t="s">
        <v>547</v>
      </c>
      <c r="I69" s="763" t="s">
        <v>1294</v>
      </c>
      <c r="J69" s="30"/>
      <c r="K69" s="30"/>
      <c r="L69" s="30"/>
      <c r="M69" s="30"/>
      <c r="N69" s="30"/>
      <c r="O69" s="30"/>
      <c r="P69" s="30"/>
      <c r="Q69" s="30"/>
      <c r="R69" s="30"/>
      <c r="S69" s="30"/>
      <c r="U69" s="775"/>
      <c r="V69" s="30"/>
      <c r="W69" s="30"/>
      <c r="X69" s="30"/>
      <c r="Y69" s="30"/>
      <c r="Z69" s="30"/>
      <c r="AA69" s="30"/>
      <c r="AB69" s="778" t="s">
        <v>784</v>
      </c>
      <c r="AC69" s="779" t="s">
        <v>785</v>
      </c>
      <c r="AE69" s="30"/>
      <c r="AF69" s="30"/>
      <c r="AG69" s="30"/>
      <c r="AJ69" t="str">
        <f t="shared" ref="AJ69:AJ77" si="2">CONCATENATE(AH69," ",AI69)</f>
        <v xml:space="preserve"> </v>
      </c>
      <c r="AQ69" t="str">
        <f t="shared" ref="AQ69:AQ77" si="3">CONCATENATE(AO69," ",AP69)</f>
        <v xml:space="preserve"> </v>
      </c>
    </row>
    <row r="70" spans="1:43" ht="18.75" customHeight="1" x14ac:dyDescent="0.25">
      <c r="A70" s="30"/>
      <c r="B70" s="30"/>
      <c r="C70" s="30"/>
      <c r="D70" s="30"/>
      <c r="E70" s="30"/>
      <c r="F70" s="741" t="s">
        <v>120</v>
      </c>
      <c r="G70" s="30" t="s">
        <v>632</v>
      </c>
      <c r="H70" s="30" t="s">
        <v>119</v>
      </c>
      <c r="I70" s="763" t="s">
        <v>1294</v>
      </c>
      <c r="J70" s="30"/>
      <c r="K70" s="30"/>
      <c r="L70" s="30"/>
      <c r="M70" s="30"/>
      <c r="N70" s="30"/>
      <c r="O70" s="30"/>
      <c r="P70" s="30"/>
      <c r="Q70" s="30"/>
      <c r="R70" s="30"/>
      <c r="S70" s="30"/>
      <c r="U70" s="775"/>
      <c r="V70" s="30"/>
      <c r="W70" s="30"/>
      <c r="X70" s="30"/>
      <c r="Y70" s="30"/>
      <c r="Z70" s="30"/>
      <c r="AA70" s="30"/>
      <c r="AB70" s="778" t="s">
        <v>1453</v>
      </c>
      <c r="AC70" s="780" t="s">
        <v>786</v>
      </c>
      <c r="AE70" s="30"/>
      <c r="AF70" s="30"/>
      <c r="AG70" s="30"/>
      <c r="AH70" s="762">
        <v>45</v>
      </c>
      <c r="AI70" s="758" t="s">
        <v>784</v>
      </c>
      <c r="AJ70" t="str">
        <f>CONCATENATE(AH70," ",AI70)</f>
        <v>45 GASTOS DE COMERCIALIZACIÓN Y PRODUCCIÓN</v>
      </c>
      <c r="AO70" s="762">
        <v>45</v>
      </c>
      <c r="AP70" s="758" t="s">
        <v>784</v>
      </c>
      <c r="AQ70" t="str">
        <f t="shared" si="3"/>
        <v>45 GASTOS DE COMERCIALIZACIÓN Y PRODUCCIÓN</v>
      </c>
    </row>
    <row r="71" spans="1:43" x14ac:dyDescent="0.25">
      <c r="A71" s="30"/>
      <c r="B71" s="30"/>
      <c r="C71" s="30"/>
      <c r="D71" s="30"/>
      <c r="E71" s="30"/>
      <c r="F71" s="741" t="s">
        <v>629</v>
      </c>
      <c r="G71" s="30" t="s">
        <v>484</v>
      </c>
      <c r="H71" s="30" t="s">
        <v>527</v>
      </c>
      <c r="I71" s="763"/>
      <c r="J71" s="30" t="s">
        <v>492</v>
      </c>
      <c r="K71" s="30"/>
      <c r="L71" s="30"/>
      <c r="M71" s="30"/>
      <c r="N71" s="30"/>
      <c r="O71" s="30"/>
      <c r="P71" s="30"/>
      <c r="Q71" s="30"/>
      <c r="R71" s="30"/>
      <c r="S71" s="30"/>
      <c r="U71" s="775"/>
      <c r="V71" s="30"/>
      <c r="W71" s="30"/>
      <c r="X71" s="30"/>
      <c r="Y71" s="30"/>
      <c r="Z71" s="30"/>
      <c r="AA71" s="30"/>
      <c r="AB71" s="781"/>
      <c r="AC71" s="779" t="s">
        <v>1393</v>
      </c>
      <c r="AD71" s="30"/>
      <c r="AE71" s="30"/>
      <c r="AF71" s="30"/>
      <c r="AG71" s="30"/>
      <c r="AH71" s="762">
        <v>4501</v>
      </c>
      <c r="AI71" s="758" t="s">
        <v>784</v>
      </c>
      <c r="AJ71" t="str">
        <f t="shared" si="2"/>
        <v>4501 GASTOS DE COMERCIALIZACIÓN Y PRODUCCIÓN</v>
      </c>
      <c r="AO71" s="762">
        <v>4501</v>
      </c>
      <c r="AP71" s="758" t="s">
        <v>784</v>
      </c>
      <c r="AQ71" t="str">
        <f t="shared" si="3"/>
        <v>4501 GASTOS DE COMERCIALIZACIÓN Y PRODUCCIÓN</v>
      </c>
    </row>
    <row r="72" spans="1:43" x14ac:dyDescent="0.25">
      <c r="A72" s="30"/>
      <c r="B72" s="30"/>
      <c r="C72" s="30"/>
      <c r="D72" s="30"/>
      <c r="E72" s="30"/>
      <c r="F72" s="741" t="s">
        <v>405</v>
      </c>
      <c r="G72" s="30" t="s">
        <v>625</v>
      </c>
      <c r="H72" s="30" t="s">
        <v>547</v>
      </c>
      <c r="I72" s="763" t="s">
        <v>1294</v>
      </c>
      <c r="J72" s="30"/>
      <c r="K72" s="30"/>
      <c r="L72" s="30"/>
      <c r="M72" s="30"/>
      <c r="N72" s="30"/>
      <c r="O72" s="30"/>
      <c r="P72" s="30"/>
      <c r="Q72" s="30"/>
      <c r="R72" s="30"/>
      <c r="S72" s="30"/>
      <c r="T72" s="30"/>
      <c r="U72" s="775"/>
      <c r="V72" s="30"/>
      <c r="W72" s="30"/>
      <c r="X72" s="30"/>
      <c r="Y72" s="30"/>
      <c r="Z72" s="30"/>
      <c r="AA72" s="30"/>
      <c r="AB72" s="781"/>
      <c r="AC72" s="781"/>
      <c r="AD72" s="30"/>
      <c r="AE72" s="30"/>
      <c r="AF72" s="30"/>
      <c r="AG72" s="30"/>
      <c r="AH72" s="762">
        <v>450101</v>
      </c>
      <c r="AI72" t="s">
        <v>1569</v>
      </c>
      <c r="AJ72" t="str">
        <f t="shared" si="2"/>
        <v>450101 Materiales y suministros</v>
      </c>
      <c r="AO72" s="762">
        <v>450101</v>
      </c>
      <c r="AP72" t="s">
        <v>1569</v>
      </c>
      <c r="AQ72" t="str">
        <f t="shared" si="3"/>
        <v>450101 Materiales y suministros</v>
      </c>
    </row>
    <row r="73" spans="1:43" ht="22.5" customHeight="1" x14ac:dyDescent="0.25">
      <c r="A73" s="30"/>
      <c r="B73" s="30"/>
      <c r="C73" s="30"/>
      <c r="D73" s="30"/>
      <c r="E73" s="30"/>
      <c r="F73" s="741" t="s">
        <v>406</v>
      </c>
      <c r="G73" s="30" t="s">
        <v>1393</v>
      </c>
      <c r="H73" s="30" t="s">
        <v>552</v>
      </c>
      <c r="I73" s="763" t="s">
        <v>1294</v>
      </c>
      <c r="J73" s="30"/>
      <c r="K73" s="30"/>
      <c r="L73" s="30"/>
      <c r="M73" s="30"/>
      <c r="N73" s="30"/>
      <c r="O73" s="30"/>
      <c r="P73" s="30"/>
      <c r="Q73" s="30"/>
      <c r="R73" s="30"/>
      <c r="S73" s="30"/>
      <c r="T73" s="30"/>
      <c r="U73" s="775"/>
      <c r="V73" s="30"/>
      <c r="W73" s="30"/>
      <c r="X73" s="30"/>
      <c r="Y73" s="30"/>
      <c r="Z73" s="30"/>
      <c r="AA73" s="30"/>
      <c r="AB73" s="782" t="s">
        <v>787</v>
      </c>
      <c r="AC73" s="781"/>
      <c r="AD73" s="30"/>
      <c r="AE73" s="30"/>
      <c r="AF73" s="30"/>
      <c r="AG73" s="30"/>
      <c r="AH73" s="762">
        <v>16</v>
      </c>
      <c r="AI73" s="758" t="s">
        <v>787</v>
      </c>
      <c r="AJ73" t="str">
        <f t="shared" si="2"/>
        <v>16 RESERVAS PRESUPUESTALES CONSTITUIDAS</v>
      </c>
      <c r="AO73" s="762"/>
      <c r="AP73" s="758" t="s">
        <v>787</v>
      </c>
      <c r="AQ73" t="str">
        <f t="shared" si="3"/>
        <v xml:space="preserve"> RESERVAS PRESUPUESTALES CONSTITUIDAS</v>
      </c>
    </row>
    <row r="74" spans="1:43" x14ac:dyDescent="0.25">
      <c r="A74" s="30"/>
      <c r="B74" s="30"/>
      <c r="C74" s="30"/>
      <c r="D74" s="30"/>
      <c r="E74" s="30"/>
      <c r="F74" s="741" t="s">
        <v>407</v>
      </c>
      <c r="G74" s="30" t="s">
        <v>484</v>
      </c>
      <c r="H74" s="30" t="s">
        <v>532</v>
      </c>
      <c r="I74" s="763"/>
      <c r="J74" s="30" t="s">
        <v>492</v>
      </c>
      <c r="K74" s="30"/>
      <c r="L74" s="30"/>
      <c r="M74" s="30"/>
      <c r="N74" s="30"/>
      <c r="O74" s="30"/>
      <c r="P74" s="30"/>
      <c r="Q74" s="30"/>
      <c r="R74" s="30"/>
      <c r="S74" s="30"/>
      <c r="T74" s="30"/>
      <c r="U74" s="30"/>
      <c r="V74" s="30"/>
      <c r="W74" s="30"/>
      <c r="X74" s="30"/>
      <c r="Y74" s="30"/>
      <c r="Z74" s="30"/>
      <c r="AA74" s="30"/>
      <c r="AB74" s="782" t="s">
        <v>1453</v>
      </c>
      <c r="AC74" s="606"/>
      <c r="AD74" s="30"/>
      <c r="AE74" s="30"/>
      <c r="AF74" s="30"/>
      <c r="AG74" s="30"/>
      <c r="AH74" s="762">
        <v>17</v>
      </c>
      <c r="AI74" s="758" t="s">
        <v>788</v>
      </c>
      <c r="AJ74" t="str">
        <f t="shared" si="2"/>
        <v>17 CUENTAS POR PAGAR</v>
      </c>
      <c r="AO74" s="762"/>
      <c r="AP74" s="758" t="s">
        <v>788</v>
      </c>
      <c r="AQ74" t="str">
        <f t="shared" si="3"/>
        <v xml:space="preserve"> CUENTAS POR PAGAR</v>
      </c>
    </row>
    <row r="75" spans="1:43" x14ac:dyDescent="0.25">
      <c r="A75" s="30"/>
      <c r="B75" s="30"/>
      <c r="C75" s="30"/>
      <c r="D75" s="30"/>
      <c r="E75" s="30"/>
      <c r="F75" s="741" t="s">
        <v>408</v>
      </c>
      <c r="G75" s="30" t="s">
        <v>634</v>
      </c>
      <c r="H75" s="30" t="s">
        <v>482</v>
      </c>
      <c r="I75" s="763"/>
      <c r="J75" s="30" t="s">
        <v>492</v>
      </c>
      <c r="K75" s="30"/>
      <c r="L75" s="30"/>
      <c r="M75" s="30"/>
      <c r="N75" s="30"/>
      <c r="O75" s="30"/>
      <c r="P75" s="30"/>
      <c r="Q75" s="30"/>
      <c r="R75" s="30"/>
      <c r="S75" s="30"/>
      <c r="T75" s="30"/>
      <c r="U75" s="30"/>
      <c r="V75" s="30"/>
      <c r="W75" s="30"/>
      <c r="X75" s="30"/>
      <c r="Y75" s="30"/>
      <c r="Z75" s="30"/>
      <c r="AA75" s="30"/>
      <c r="AB75" s="783"/>
      <c r="AC75" s="781"/>
      <c r="AD75" s="30"/>
      <c r="AE75" s="30"/>
      <c r="AF75" s="30"/>
      <c r="AG75" s="30"/>
      <c r="AH75" s="762">
        <v>18</v>
      </c>
      <c r="AI75" s="758" t="s">
        <v>789</v>
      </c>
      <c r="AJ75" t="str">
        <f t="shared" si="2"/>
        <v>18 OBLIGACIONES POR PAGAR</v>
      </c>
      <c r="AP75" s="758" t="s">
        <v>789</v>
      </c>
      <c r="AQ75" t="str">
        <f t="shared" si="3"/>
        <v xml:space="preserve"> OBLIGACIONES POR PAGAR</v>
      </c>
    </row>
    <row r="76" spans="1:43" x14ac:dyDescent="0.25">
      <c r="A76" s="30"/>
      <c r="B76" s="30"/>
      <c r="C76" s="30"/>
      <c r="D76" s="30"/>
      <c r="E76" s="30"/>
      <c r="F76" s="741" t="s">
        <v>409</v>
      </c>
      <c r="G76" s="30" t="s">
        <v>634</v>
      </c>
      <c r="H76" s="30" t="s">
        <v>482</v>
      </c>
      <c r="I76" s="763"/>
      <c r="J76" s="30" t="s">
        <v>492</v>
      </c>
      <c r="K76" s="30"/>
      <c r="L76" s="30"/>
      <c r="M76" s="30"/>
      <c r="N76" s="30"/>
      <c r="O76" s="30"/>
      <c r="P76" s="30"/>
      <c r="Q76" s="30"/>
      <c r="R76" s="30"/>
      <c r="S76" s="30"/>
      <c r="T76" s="30"/>
      <c r="U76" s="30"/>
      <c r="V76" s="30"/>
      <c r="W76" s="30"/>
      <c r="X76" s="30"/>
      <c r="Y76" s="30"/>
      <c r="Z76" s="30"/>
      <c r="AA76" s="30"/>
      <c r="AB76" s="782" t="s">
        <v>788</v>
      </c>
      <c r="AC76" s="781"/>
      <c r="AD76" s="30"/>
      <c r="AE76" s="30"/>
      <c r="AF76" s="30"/>
      <c r="AG76" s="30"/>
      <c r="AH76" s="762">
        <v>19</v>
      </c>
      <c r="AI76" s="758" t="s">
        <v>518</v>
      </c>
      <c r="AJ76" t="str">
        <f t="shared" si="2"/>
        <v>19 PASIVOS EXIGIBLES</v>
      </c>
      <c r="AP76" s="758" t="s">
        <v>518</v>
      </c>
      <c r="AQ76" t="str">
        <f t="shared" si="3"/>
        <v xml:space="preserve"> PASIVOS EXIGIBLES</v>
      </c>
    </row>
    <row r="77" spans="1:43" x14ac:dyDescent="0.25">
      <c r="A77" s="30"/>
      <c r="B77" s="30"/>
      <c r="C77" s="30"/>
      <c r="D77" s="30"/>
      <c r="E77" s="30"/>
      <c r="F77" s="741" t="s">
        <v>410</v>
      </c>
      <c r="G77" s="30" t="s">
        <v>634</v>
      </c>
      <c r="H77" s="30" t="s">
        <v>482</v>
      </c>
      <c r="I77" s="763"/>
      <c r="J77" s="30" t="s">
        <v>492</v>
      </c>
      <c r="K77" s="30"/>
      <c r="L77" s="30"/>
      <c r="M77" s="30"/>
      <c r="N77" s="30"/>
      <c r="O77" s="30"/>
      <c r="P77" s="30"/>
      <c r="Q77" s="30"/>
      <c r="R77" s="30"/>
      <c r="S77" s="30"/>
      <c r="T77" s="30"/>
      <c r="U77" s="30"/>
      <c r="V77" s="30"/>
      <c r="W77" s="30"/>
      <c r="X77" s="30"/>
      <c r="Y77" s="30"/>
      <c r="Z77" s="30"/>
      <c r="AA77" s="30"/>
      <c r="AB77" s="782" t="s">
        <v>1453</v>
      </c>
      <c r="AC77" s="781"/>
      <c r="AD77" s="30"/>
      <c r="AE77" s="30"/>
      <c r="AF77" s="30"/>
      <c r="AG77" s="30"/>
      <c r="AH77" s="762">
        <v>20</v>
      </c>
      <c r="AI77" s="758" t="s">
        <v>524</v>
      </c>
      <c r="AJ77" t="str">
        <f t="shared" si="2"/>
        <v>20 VIGENCIAS FUTURAS</v>
      </c>
      <c r="AP77" s="758" t="s">
        <v>524</v>
      </c>
      <c r="AQ77" t="str">
        <f t="shared" si="3"/>
        <v xml:space="preserve"> VIGENCIAS FUTURAS</v>
      </c>
    </row>
    <row r="78" spans="1:43" x14ac:dyDescent="0.25">
      <c r="A78" s="30"/>
      <c r="B78" s="30"/>
      <c r="C78" s="30"/>
      <c r="D78" s="30"/>
      <c r="E78" s="30"/>
      <c r="F78" s="741" t="s">
        <v>411</v>
      </c>
      <c r="G78" s="30" t="s">
        <v>634</v>
      </c>
      <c r="H78" s="30" t="s">
        <v>482</v>
      </c>
      <c r="I78" s="763"/>
      <c r="J78" s="30" t="s">
        <v>492</v>
      </c>
      <c r="K78" s="30"/>
      <c r="L78" s="30"/>
      <c r="M78" s="30"/>
      <c r="N78" s="30"/>
      <c r="O78" s="30"/>
      <c r="P78" s="30"/>
      <c r="Q78" s="30"/>
      <c r="R78" s="30"/>
      <c r="S78" s="30"/>
      <c r="T78" s="30"/>
      <c r="U78" s="30"/>
      <c r="V78" s="30"/>
      <c r="W78" s="30"/>
      <c r="X78" s="30"/>
      <c r="Y78" s="30"/>
      <c r="Z78" s="30"/>
      <c r="AA78" s="30"/>
      <c r="AB78" s="783"/>
      <c r="AC78" s="781"/>
      <c r="AD78" s="30"/>
      <c r="AE78" s="30"/>
      <c r="AF78" s="30"/>
      <c r="AG78" s="30"/>
      <c r="AH78" s="762"/>
      <c r="AI78" s="758"/>
    </row>
    <row r="79" spans="1:43" x14ac:dyDescent="0.25">
      <c r="A79" s="30"/>
      <c r="B79" s="30"/>
      <c r="C79" s="30"/>
      <c r="D79" s="30"/>
      <c r="E79" s="30"/>
      <c r="F79" s="741" t="s">
        <v>412</v>
      </c>
      <c r="G79" s="30" t="s">
        <v>630</v>
      </c>
      <c r="H79" s="30" t="s">
        <v>482</v>
      </c>
      <c r="I79" s="763"/>
      <c r="J79" s="30" t="s">
        <v>492</v>
      </c>
      <c r="K79" s="30"/>
      <c r="L79" s="30"/>
      <c r="M79" s="30"/>
      <c r="N79" s="30"/>
      <c r="O79" s="30"/>
      <c r="P79" s="30"/>
      <c r="Q79" s="30"/>
      <c r="R79" s="30"/>
      <c r="S79" s="30"/>
      <c r="T79" s="30"/>
      <c r="U79" s="30"/>
      <c r="V79" s="30"/>
      <c r="W79" s="30"/>
      <c r="X79" s="30"/>
      <c r="Y79" s="30"/>
      <c r="Z79" s="30"/>
      <c r="AA79" s="30"/>
      <c r="AB79" s="783"/>
      <c r="AC79" s="781"/>
      <c r="AD79" s="30"/>
      <c r="AE79" s="30"/>
      <c r="AF79" s="30"/>
      <c r="AG79" s="30"/>
    </row>
    <row r="80" spans="1:43" ht="30" x14ac:dyDescent="0.25">
      <c r="A80" s="30"/>
      <c r="B80" s="30"/>
      <c r="C80" s="30"/>
      <c r="D80" s="30"/>
      <c r="E80" s="30"/>
      <c r="F80" s="741" t="s">
        <v>635</v>
      </c>
      <c r="G80" s="30" t="s">
        <v>593</v>
      </c>
      <c r="H80" s="30" t="s">
        <v>482</v>
      </c>
      <c r="I80" s="763"/>
      <c r="J80" s="30" t="s">
        <v>492</v>
      </c>
      <c r="K80" s="30"/>
      <c r="L80" s="30"/>
      <c r="M80" s="30"/>
      <c r="N80" s="30"/>
      <c r="O80" s="30"/>
      <c r="P80" s="30"/>
      <c r="Q80" s="30"/>
      <c r="R80" s="30"/>
      <c r="S80" s="30"/>
      <c r="T80" s="30"/>
      <c r="U80" s="30"/>
      <c r="V80" s="30"/>
      <c r="W80" s="30"/>
      <c r="X80" s="30"/>
      <c r="Y80" s="30"/>
      <c r="Z80" s="30"/>
      <c r="AA80" s="30"/>
      <c r="AB80" s="782" t="s">
        <v>789</v>
      </c>
      <c r="AC80" s="781"/>
      <c r="AD80" s="30"/>
      <c r="AE80" s="30"/>
      <c r="AF80" s="30" t="s">
        <v>1514</v>
      </c>
      <c r="AG80" s="30"/>
    </row>
    <row r="81" spans="1:33" x14ac:dyDescent="0.25">
      <c r="A81" s="30"/>
      <c r="B81" s="30"/>
      <c r="C81" s="30"/>
      <c r="D81" s="30"/>
      <c r="E81" s="30"/>
      <c r="F81" s="741" t="s">
        <v>637</v>
      </c>
      <c r="G81" s="30" t="s">
        <v>630</v>
      </c>
      <c r="H81" s="30" t="s">
        <v>482</v>
      </c>
      <c r="I81" s="763" t="s">
        <v>1294</v>
      </c>
      <c r="J81" s="30" t="s">
        <v>492</v>
      </c>
      <c r="K81" s="30"/>
      <c r="L81" s="30"/>
      <c r="M81" s="30"/>
      <c r="N81" s="30"/>
      <c r="O81" s="30"/>
      <c r="P81" s="30"/>
      <c r="Q81" s="30"/>
      <c r="R81" s="30"/>
      <c r="S81" s="30"/>
      <c r="T81" s="30"/>
      <c r="U81" s="30"/>
      <c r="V81" s="30"/>
      <c r="W81" s="30"/>
      <c r="X81" s="30"/>
      <c r="Y81" s="30"/>
      <c r="Z81" s="30"/>
      <c r="AA81" s="30"/>
      <c r="AB81" s="782" t="s">
        <v>1453</v>
      </c>
      <c r="AC81" s="781"/>
      <c r="AD81" s="30"/>
      <c r="AE81" s="30"/>
      <c r="AF81" s="30" t="s">
        <v>1571</v>
      </c>
      <c r="AG81" s="30"/>
    </row>
    <row r="82" spans="1:33" x14ac:dyDescent="0.25">
      <c r="A82" s="30"/>
      <c r="B82" s="30"/>
      <c r="C82" s="30"/>
      <c r="D82" s="30"/>
      <c r="E82" s="30"/>
      <c r="F82" s="741" t="s">
        <v>415</v>
      </c>
      <c r="G82" s="270" t="s">
        <v>602</v>
      </c>
      <c r="H82" s="30" t="s">
        <v>119</v>
      </c>
      <c r="I82" s="763"/>
      <c r="J82" s="30"/>
      <c r="K82" s="30"/>
      <c r="L82" s="30"/>
      <c r="M82" s="30"/>
      <c r="N82" s="30"/>
      <c r="O82" s="30"/>
      <c r="P82" s="30"/>
      <c r="Q82" s="30"/>
      <c r="R82" s="30"/>
      <c r="S82" s="30"/>
      <c r="T82" s="30"/>
      <c r="U82" s="30"/>
      <c r="V82" s="30"/>
      <c r="W82" s="30"/>
      <c r="X82" s="30"/>
      <c r="Y82" s="30"/>
      <c r="Z82" s="30"/>
      <c r="AA82" s="30"/>
      <c r="AB82" s="783"/>
      <c r="AC82" s="781"/>
      <c r="AD82" s="30"/>
      <c r="AE82" s="30"/>
      <c r="AF82" s="30" t="s">
        <v>1572</v>
      </c>
      <c r="AG82" s="30"/>
    </row>
    <row r="83" spans="1:33" x14ac:dyDescent="0.25">
      <c r="A83" s="30"/>
      <c r="B83" s="30"/>
      <c r="C83" s="30"/>
      <c r="D83" s="30"/>
      <c r="E83" s="30"/>
      <c r="F83" s="741" t="s">
        <v>639</v>
      </c>
      <c r="G83" s="30" t="s">
        <v>484</v>
      </c>
      <c r="H83" s="30" t="s">
        <v>536</v>
      </c>
      <c r="I83" s="763"/>
      <c r="J83" s="30" t="s">
        <v>492</v>
      </c>
      <c r="K83" s="30"/>
      <c r="L83" s="30"/>
      <c r="M83" s="30"/>
      <c r="N83" s="30"/>
      <c r="O83" s="30"/>
      <c r="P83" s="30"/>
      <c r="Q83" s="30"/>
      <c r="R83" s="30"/>
      <c r="S83" s="30"/>
      <c r="T83" s="30"/>
      <c r="U83" s="30"/>
      <c r="V83" s="30"/>
      <c r="W83" s="30"/>
      <c r="X83" s="30"/>
      <c r="Y83" s="30"/>
      <c r="Z83" s="30"/>
      <c r="AA83" s="30"/>
      <c r="AB83" s="783"/>
      <c r="AC83" s="781"/>
      <c r="AD83" s="30"/>
      <c r="AE83" s="30"/>
      <c r="AF83" s="30"/>
      <c r="AG83" s="30"/>
    </row>
    <row r="84" spans="1:33" x14ac:dyDescent="0.25">
      <c r="A84" s="30"/>
      <c r="B84" s="30"/>
      <c r="C84" s="30"/>
      <c r="D84" s="30"/>
      <c r="E84" s="30"/>
      <c r="F84" s="741" t="s">
        <v>1454</v>
      </c>
      <c r="G84" s="30" t="s">
        <v>595</v>
      </c>
      <c r="H84" s="30" t="s">
        <v>554</v>
      </c>
      <c r="I84" s="763"/>
      <c r="J84" s="30" t="s">
        <v>492</v>
      </c>
      <c r="K84" s="30"/>
      <c r="L84" s="30"/>
      <c r="M84" s="30"/>
      <c r="N84" s="30"/>
      <c r="O84" s="30"/>
      <c r="P84" s="30"/>
      <c r="Q84" s="30"/>
      <c r="R84" s="30"/>
      <c r="S84" s="30"/>
      <c r="T84" s="30"/>
      <c r="U84" s="30"/>
      <c r="V84" s="30"/>
      <c r="W84" s="30"/>
      <c r="X84" s="30"/>
      <c r="Y84" s="30"/>
      <c r="Z84" s="30"/>
      <c r="AA84" s="30"/>
      <c r="AB84" s="782" t="s">
        <v>518</v>
      </c>
      <c r="AC84" s="781"/>
      <c r="AD84" s="30"/>
      <c r="AE84" s="30"/>
      <c r="AF84" s="30"/>
      <c r="AG84" s="30"/>
    </row>
    <row r="85" spans="1:33" x14ac:dyDescent="0.25">
      <c r="A85" s="30"/>
      <c r="B85" s="30"/>
      <c r="C85" s="30"/>
      <c r="D85" s="30"/>
      <c r="E85" s="30"/>
      <c r="F85" s="741" t="s">
        <v>418</v>
      </c>
      <c r="G85" s="30" t="s">
        <v>511</v>
      </c>
      <c r="H85" s="30" t="s">
        <v>544</v>
      </c>
      <c r="I85" s="763"/>
      <c r="J85" s="30" t="s">
        <v>492</v>
      </c>
      <c r="K85" s="30"/>
      <c r="L85" s="30"/>
      <c r="M85" s="30"/>
      <c r="N85" s="30"/>
      <c r="O85" s="30"/>
      <c r="P85" s="30"/>
      <c r="Q85" s="30"/>
      <c r="R85" s="30"/>
      <c r="S85" s="30"/>
      <c r="T85" s="30"/>
      <c r="U85" s="30"/>
      <c r="V85" s="30"/>
      <c r="W85" s="30"/>
      <c r="X85" s="30"/>
      <c r="Y85" s="30"/>
      <c r="Z85" s="30"/>
      <c r="AA85" s="30"/>
      <c r="AB85" s="782" t="s">
        <v>1453</v>
      </c>
      <c r="AC85" s="781"/>
      <c r="AD85" s="30"/>
      <c r="AE85" s="30"/>
      <c r="AF85" s="30"/>
      <c r="AG85" s="30"/>
    </row>
    <row r="86" spans="1:33" x14ac:dyDescent="0.25">
      <c r="A86" s="30"/>
      <c r="B86" s="30"/>
      <c r="C86" s="30"/>
      <c r="D86" s="30"/>
      <c r="E86" s="30"/>
      <c r="F86" s="741" t="s">
        <v>641</v>
      </c>
      <c r="G86" s="30" t="s">
        <v>1393</v>
      </c>
      <c r="H86" s="30" t="s">
        <v>538</v>
      </c>
      <c r="I86" s="763" t="s">
        <v>1294</v>
      </c>
      <c r="J86" s="30"/>
      <c r="K86" s="30"/>
      <c r="L86" s="30"/>
      <c r="M86" s="30"/>
      <c r="N86" s="30"/>
      <c r="O86" s="30"/>
      <c r="P86" s="30"/>
      <c r="Q86" s="30"/>
      <c r="R86" s="30"/>
      <c r="S86" s="30"/>
      <c r="T86" s="30"/>
      <c r="U86" s="30"/>
      <c r="V86" s="30"/>
      <c r="W86" s="30"/>
      <c r="X86" s="30"/>
      <c r="Y86" s="30"/>
      <c r="Z86" s="30"/>
      <c r="AA86" s="30"/>
      <c r="AB86" s="783"/>
      <c r="AC86" s="781"/>
      <c r="AD86" s="30"/>
      <c r="AE86" s="30"/>
      <c r="AF86" s="30"/>
      <c r="AG86" s="30"/>
    </row>
    <row r="87" spans="1:33" x14ac:dyDescent="0.25">
      <c r="A87" s="30"/>
      <c r="B87" s="30"/>
      <c r="C87" s="30"/>
      <c r="D87" s="30"/>
      <c r="E87" s="30"/>
      <c r="F87" s="741" t="s">
        <v>642</v>
      </c>
      <c r="G87" s="30" t="s">
        <v>484</v>
      </c>
      <c r="H87" s="30" t="s">
        <v>542</v>
      </c>
      <c r="I87" s="763"/>
      <c r="J87" s="30" t="s">
        <v>492</v>
      </c>
      <c r="K87" s="30"/>
      <c r="L87" s="30"/>
      <c r="M87" s="30"/>
      <c r="N87" s="30"/>
      <c r="O87" s="30"/>
      <c r="P87" s="30"/>
      <c r="Q87" s="30"/>
      <c r="R87" s="30"/>
      <c r="S87" s="30"/>
      <c r="T87" s="30"/>
      <c r="U87" s="30"/>
      <c r="V87" s="30"/>
      <c r="W87" s="30"/>
      <c r="X87" s="30"/>
      <c r="Y87" s="30"/>
      <c r="Z87" s="30"/>
      <c r="AA87" s="30"/>
      <c r="AB87" s="782" t="s">
        <v>524</v>
      </c>
      <c r="AC87" s="781"/>
      <c r="AD87" s="30"/>
      <c r="AE87" s="30"/>
      <c r="AF87" s="30"/>
      <c r="AG87" s="30"/>
    </row>
    <row r="88" spans="1:33" x14ac:dyDescent="0.25">
      <c r="A88" s="30"/>
      <c r="B88" s="30"/>
      <c r="C88" s="30"/>
      <c r="D88" s="30"/>
      <c r="E88" s="30"/>
      <c r="F88" s="741" t="s">
        <v>643</v>
      </c>
      <c r="G88" s="30" t="s">
        <v>484</v>
      </c>
      <c r="H88" s="30" t="s">
        <v>545</v>
      </c>
      <c r="I88" s="763"/>
      <c r="J88" s="30" t="s">
        <v>492</v>
      </c>
      <c r="K88" s="30"/>
      <c r="L88" s="30"/>
      <c r="M88" s="30"/>
      <c r="N88" s="30"/>
      <c r="O88" s="30"/>
      <c r="P88" s="30"/>
      <c r="Q88" s="30"/>
      <c r="R88" s="30"/>
      <c r="S88" s="30"/>
      <c r="T88" s="30"/>
      <c r="U88" s="30"/>
      <c r="V88" s="30"/>
      <c r="W88" s="30"/>
      <c r="X88" s="30"/>
      <c r="Y88" s="30"/>
      <c r="Z88" s="30"/>
      <c r="AA88" s="30"/>
      <c r="AB88" s="782" t="s">
        <v>1453</v>
      </c>
      <c r="AC88" s="781"/>
      <c r="AD88" s="30"/>
      <c r="AE88" s="30"/>
      <c r="AF88" s="30"/>
      <c r="AG88" s="30"/>
    </row>
    <row r="89" spans="1:33" x14ac:dyDescent="0.25">
      <c r="A89" s="30"/>
      <c r="B89" s="30"/>
      <c r="C89" s="30"/>
      <c r="D89" s="30"/>
      <c r="E89" s="30"/>
      <c r="F89" s="741" t="s">
        <v>422</v>
      </c>
      <c r="G89" s="270" t="s">
        <v>602</v>
      </c>
      <c r="H89" s="30" t="s">
        <v>119</v>
      </c>
      <c r="I89" s="763"/>
      <c r="J89" s="30"/>
      <c r="K89" s="30"/>
      <c r="L89" s="30"/>
      <c r="M89" s="30"/>
      <c r="N89" s="30"/>
      <c r="O89" s="30"/>
      <c r="P89" s="30"/>
      <c r="Q89" s="30"/>
      <c r="R89" s="30"/>
      <c r="S89" s="30"/>
      <c r="T89" s="30"/>
      <c r="U89" s="30"/>
      <c r="V89" s="30"/>
      <c r="W89" s="30"/>
      <c r="X89" s="30"/>
      <c r="Y89" s="30"/>
      <c r="Z89" s="30"/>
      <c r="AA89" s="30"/>
      <c r="AB89" s="30"/>
      <c r="AC89" s="30"/>
      <c r="AD89" s="30"/>
      <c r="AE89" s="30"/>
      <c r="AF89" s="30"/>
      <c r="AG89" s="30"/>
    </row>
    <row r="90" spans="1:33" x14ac:dyDescent="0.25">
      <c r="A90" s="30"/>
      <c r="B90" s="30"/>
      <c r="C90" s="30"/>
      <c r="D90" s="30"/>
      <c r="E90" s="30"/>
      <c r="F90" s="741" t="s">
        <v>423</v>
      </c>
      <c r="G90" s="30" t="s">
        <v>597</v>
      </c>
      <c r="H90" s="30" t="s">
        <v>119</v>
      </c>
      <c r="I90" s="763" t="s">
        <v>1294</v>
      </c>
      <c r="J90" s="30"/>
      <c r="K90" s="30"/>
      <c r="L90" s="30"/>
      <c r="M90" s="30"/>
      <c r="N90" s="30"/>
      <c r="O90" s="30"/>
      <c r="P90" s="30"/>
      <c r="Q90" s="30"/>
      <c r="R90" s="30"/>
      <c r="S90" s="30"/>
      <c r="T90" s="30"/>
      <c r="U90" s="30"/>
      <c r="V90" s="30"/>
      <c r="W90" s="30"/>
      <c r="X90" s="30"/>
      <c r="Y90" s="30"/>
      <c r="Z90" s="30"/>
      <c r="AA90" s="30"/>
      <c r="AB90" s="30"/>
      <c r="AC90" s="30"/>
      <c r="AD90" s="30"/>
      <c r="AE90" s="30"/>
      <c r="AF90" s="30"/>
      <c r="AG90" s="30"/>
    </row>
    <row r="91" spans="1:33" x14ac:dyDescent="0.25">
      <c r="A91" s="30"/>
      <c r="B91" s="30"/>
      <c r="C91" s="30"/>
      <c r="D91" s="30"/>
      <c r="E91" s="30"/>
      <c r="F91" s="741" t="s">
        <v>424</v>
      </c>
      <c r="G91" s="270" t="s">
        <v>602</v>
      </c>
      <c r="H91" s="30" t="s">
        <v>119</v>
      </c>
      <c r="I91" s="763"/>
      <c r="J91" s="30"/>
      <c r="K91" s="30"/>
      <c r="L91" s="30"/>
      <c r="M91" s="30"/>
      <c r="N91" s="30"/>
      <c r="O91" s="30"/>
      <c r="P91" s="30"/>
      <c r="Q91" s="30"/>
      <c r="R91" s="30"/>
      <c r="S91" s="30"/>
      <c r="T91" s="30"/>
      <c r="U91" s="30"/>
      <c r="V91" s="30"/>
      <c r="W91" s="30"/>
      <c r="X91" s="30"/>
      <c r="Y91" s="30"/>
      <c r="Z91" s="30"/>
      <c r="AA91" s="30"/>
      <c r="AB91" s="30"/>
      <c r="AC91" s="30"/>
      <c r="AD91" s="30"/>
      <c r="AE91" s="30"/>
      <c r="AF91" s="30"/>
      <c r="AG91" s="30"/>
    </row>
    <row r="92" spans="1:33" x14ac:dyDescent="0.25">
      <c r="A92" s="30"/>
      <c r="B92" s="30"/>
      <c r="C92" s="30"/>
      <c r="D92" s="30"/>
      <c r="E92" s="30"/>
      <c r="F92" s="741" t="s">
        <v>425</v>
      </c>
      <c r="G92" s="30" t="s">
        <v>625</v>
      </c>
      <c r="H92" s="30" t="s">
        <v>119</v>
      </c>
      <c r="I92" s="763" t="s">
        <v>1294</v>
      </c>
      <c r="J92" s="30"/>
      <c r="K92" s="30"/>
      <c r="L92" s="30"/>
      <c r="M92" s="30"/>
      <c r="N92" s="30"/>
      <c r="O92" s="30"/>
      <c r="P92" s="30"/>
      <c r="Q92" s="30"/>
      <c r="R92" s="30"/>
      <c r="S92" s="30"/>
      <c r="T92" s="30"/>
      <c r="U92" s="30"/>
      <c r="V92" s="30"/>
      <c r="W92" s="30"/>
      <c r="X92" s="30"/>
      <c r="Y92" s="30"/>
      <c r="Z92" s="30"/>
      <c r="AA92" s="30"/>
      <c r="AB92" s="30"/>
      <c r="AC92" s="30"/>
      <c r="AD92" s="30"/>
      <c r="AE92" s="30"/>
      <c r="AF92" s="30"/>
      <c r="AG92" s="30"/>
    </row>
    <row r="93" spans="1:33" x14ac:dyDescent="0.25">
      <c r="A93" s="30"/>
      <c r="B93" s="30"/>
      <c r="C93" s="30"/>
      <c r="D93" s="30"/>
      <c r="E93" s="30"/>
      <c r="F93" s="741" t="s">
        <v>426</v>
      </c>
      <c r="G93" s="270" t="s">
        <v>602</v>
      </c>
      <c r="H93" s="30" t="s">
        <v>119</v>
      </c>
      <c r="I93" s="763" t="s">
        <v>1294</v>
      </c>
      <c r="J93" s="30"/>
      <c r="K93" s="30"/>
      <c r="L93" s="30"/>
      <c r="M93" s="30"/>
      <c r="N93" s="30"/>
      <c r="O93" s="30"/>
      <c r="P93" s="30"/>
      <c r="Q93" s="30"/>
      <c r="R93" s="30"/>
      <c r="S93" s="30"/>
      <c r="T93" s="30"/>
      <c r="U93" s="30"/>
      <c r="V93" s="30"/>
      <c r="W93" s="30"/>
      <c r="X93" s="30"/>
      <c r="Y93" s="30"/>
      <c r="Z93" s="30"/>
      <c r="AA93" s="30"/>
      <c r="AB93" s="30"/>
      <c r="AC93" s="30"/>
      <c r="AD93" s="30"/>
      <c r="AE93" s="30"/>
      <c r="AF93" s="30"/>
      <c r="AG93" s="30"/>
    </row>
    <row r="94" spans="1:33" x14ac:dyDescent="0.25">
      <c r="A94" s="30"/>
      <c r="B94" s="30"/>
      <c r="C94" s="30"/>
      <c r="D94" s="30"/>
      <c r="E94" s="30"/>
      <c r="F94" s="741" t="s">
        <v>427</v>
      </c>
      <c r="G94" s="30" t="s">
        <v>597</v>
      </c>
      <c r="H94" s="30" t="s">
        <v>119</v>
      </c>
      <c r="I94" s="763" t="s">
        <v>1294</v>
      </c>
      <c r="J94" s="30"/>
      <c r="K94" s="30"/>
      <c r="L94" s="30"/>
      <c r="M94" s="30"/>
      <c r="N94" s="30"/>
      <c r="O94" s="30"/>
      <c r="P94" s="30"/>
      <c r="Q94" s="30"/>
      <c r="R94" s="30"/>
      <c r="S94" s="30"/>
      <c r="T94" s="30"/>
      <c r="U94" s="30"/>
      <c r="V94" s="30"/>
      <c r="W94" s="30"/>
      <c r="X94" s="30"/>
      <c r="Y94" s="30"/>
      <c r="Z94" s="30"/>
      <c r="AA94" s="30"/>
      <c r="AB94" s="30"/>
      <c r="AC94" s="30"/>
      <c r="AD94" s="30"/>
      <c r="AE94" s="30"/>
      <c r="AF94" s="30"/>
      <c r="AG94" s="30"/>
    </row>
    <row r="95" spans="1:33" x14ac:dyDescent="0.25">
      <c r="A95" s="30"/>
      <c r="B95" s="30"/>
      <c r="C95" s="30"/>
      <c r="D95" s="30"/>
      <c r="E95" s="30"/>
      <c r="F95" s="741" t="s">
        <v>428</v>
      </c>
      <c r="G95" s="270" t="s">
        <v>602</v>
      </c>
      <c r="H95" s="30" t="s">
        <v>119</v>
      </c>
      <c r="I95" s="763" t="s">
        <v>1294</v>
      </c>
      <c r="J95" s="30"/>
      <c r="K95" s="30"/>
      <c r="L95" s="30"/>
      <c r="M95" s="30"/>
      <c r="N95" s="30"/>
      <c r="O95" s="30"/>
      <c r="P95" s="30"/>
      <c r="Q95" s="30"/>
      <c r="R95" s="30"/>
      <c r="S95" s="30"/>
      <c r="T95" s="30"/>
      <c r="U95" s="30"/>
      <c r="V95" s="30"/>
      <c r="W95" s="30"/>
      <c r="X95" s="30"/>
      <c r="Y95" s="30"/>
      <c r="Z95" s="30"/>
      <c r="AA95" s="30"/>
      <c r="AB95" s="30"/>
      <c r="AC95" s="30"/>
      <c r="AD95" s="30"/>
      <c r="AE95" s="30"/>
      <c r="AF95" s="30"/>
      <c r="AG95" s="30"/>
    </row>
    <row r="96" spans="1:33" x14ac:dyDescent="0.25">
      <c r="A96" s="30"/>
      <c r="B96" s="30"/>
      <c r="C96" s="30"/>
      <c r="D96" s="30"/>
      <c r="E96" s="30"/>
      <c r="F96" s="741" t="s">
        <v>429</v>
      </c>
      <c r="G96" s="30" t="s">
        <v>597</v>
      </c>
      <c r="H96" s="30" t="s">
        <v>119</v>
      </c>
      <c r="I96" s="763" t="s">
        <v>1294</v>
      </c>
      <c r="J96" s="30"/>
      <c r="K96" s="30"/>
      <c r="L96" s="30"/>
      <c r="M96" s="30"/>
      <c r="N96" s="30"/>
      <c r="O96" s="30"/>
      <c r="P96" s="30"/>
      <c r="Q96" s="30"/>
      <c r="R96" s="30"/>
      <c r="S96" s="30"/>
      <c r="T96" s="30"/>
      <c r="U96" s="30"/>
      <c r="V96" s="30"/>
      <c r="W96" s="30"/>
      <c r="X96" s="30"/>
      <c r="Y96" s="30"/>
      <c r="Z96" s="30"/>
      <c r="AA96" s="30"/>
      <c r="AB96" s="30"/>
      <c r="AC96" s="30"/>
      <c r="AD96" s="30"/>
      <c r="AE96" s="30"/>
      <c r="AF96" s="30"/>
      <c r="AG96" s="30"/>
    </row>
    <row r="97" spans="1:33" x14ac:dyDescent="0.25">
      <c r="A97" s="30"/>
      <c r="B97" s="30"/>
      <c r="C97" s="30"/>
      <c r="D97" s="30"/>
      <c r="E97" s="30"/>
      <c r="F97" s="741" t="s">
        <v>430</v>
      </c>
      <c r="G97" s="30" t="s">
        <v>597</v>
      </c>
      <c r="H97" s="30" t="s">
        <v>119</v>
      </c>
      <c r="I97" s="763" t="s">
        <v>1294</v>
      </c>
      <c r="J97" s="30"/>
      <c r="K97" s="30"/>
      <c r="L97" s="30"/>
      <c r="M97" s="30"/>
      <c r="N97" s="30"/>
      <c r="O97" s="30"/>
      <c r="P97" s="30"/>
      <c r="Q97" s="30"/>
      <c r="R97" s="30"/>
      <c r="S97" s="30"/>
      <c r="T97" s="30"/>
      <c r="U97" s="30"/>
      <c r="V97" s="30"/>
      <c r="W97" s="30"/>
      <c r="X97" s="30"/>
      <c r="Y97" s="30"/>
      <c r="Z97" s="30"/>
      <c r="AA97" s="30"/>
      <c r="AB97" s="30"/>
      <c r="AC97" s="30"/>
      <c r="AD97" s="30"/>
      <c r="AE97" s="30"/>
      <c r="AF97" s="30"/>
      <c r="AG97" s="30"/>
    </row>
    <row r="98" spans="1:33" x14ac:dyDescent="0.25">
      <c r="A98" s="30"/>
      <c r="B98" s="30"/>
      <c r="C98" s="30"/>
      <c r="D98" s="30"/>
      <c r="E98" s="30"/>
      <c r="F98" s="741" t="s">
        <v>431</v>
      </c>
      <c r="G98" s="30" t="s">
        <v>597</v>
      </c>
      <c r="H98" s="30" t="s">
        <v>119</v>
      </c>
      <c r="I98" s="763" t="s">
        <v>1294</v>
      </c>
      <c r="J98" s="30"/>
      <c r="K98" s="30"/>
      <c r="L98" s="30"/>
      <c r="M98" s="30"/>
      <c r="N98" s="30"/>
      <c r="O98" s="30"/>
      <c r="P98" s="30"/>
      <c r="Q98" s="30"/>
      <c r="R98" s="30"/>
      <c r="S98" s="30"/>
      <c r="T98" s="30"/>
      <c r="U98" s="30"/>
      <c r="V98" s="30"/>
      <c r="W98" s="30"/>
      <c r="X98" s="30"/>
      <c r="Y98" s="30"/>
      <c r="Z98" s="30"/>
      <c r="AA98" s="30"/>
      <c r="AB98" s="30"/>
      <c r="AC98" s="30"/>
      <c r="AD98" s="30"/>
      <c r="AE98" s="30"/>
      <c r="AF98" s="30"/>
      <c r="AG98" s="30"/>
    </row>
    <row r="99" spans="1:33" x14ac:dyDescent="0.25">
      <c r="A99" s="30"/>
      <c r="B99" s="30"/>
      <c r="C99" s="30"/>
      <c r="D99" s="30"/>
      <c r="E99" s="30"/>
      <c r="F99" s="741" t="s">
        <v>644</v>
      </c>
      <c r="G99" s="30" t="s">
        <v>484</v>
      </c>
      <c r="H99" s="30" t="s">
        <v>548</v>
      </c>
      <c r="I99" s="763"/>
      <c r="J99" s="30" t="s">
        <v>492</v>
      </c>
      <c r="K99" s="30"/>
      <c r="L99" s="30"/>
      <c r="M99" s="30"/>
      <c r="N99" s="30"/>
      <c r="O99" s="30"/>
      <c r="P99" s="30"/>
      <c r="Q99" s="30"/>
      <c r="R99" s="30"/>
      <c r="S99" s="30"/>
      <c r="T99" s="30"/>
      <c r="U99" s="30"/>
      <c r="V99" s="30"/>
      <c r="W99" s="30"/>
      <c r="X99" s="30"/>
      <c r="Y99" s="30"/>
      <c r="Z99" s="30"/>
      <c r="AA99" s="30"/>
      <c r="AB99" s="30"/>
      <c r="AC99" s="30"/>
      <c r="AD99" s="30"/>
      <c r="AE99" s="30"/>
      <c r="AF99" s="30"/>
      <c r="AG99" s="30"/>
    </row>
    <row r="100" spans="1:33" x14ac:dyDescent="0.25">
      <c r="A100" s="30"/>
      <c r="B100" s="30"/>
      <c r="C100" s="30"/>
      <c r="D100" s="30"/>
      <c r="E100" s="30"/>
      <c r="F100" s="741" t="s">
        <v>645</v>
      </c>
      <c r="G100" s="30" t="s">
        <v>484</v>
      </c>
      <c r="H100" s="30" t="s">
        <v>550</v>
      </c>
      <c r="I100" s="763"/>
      <c r="J100" s="30" t="s">
        <v>492</v>
      </c>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row>
    <row r="101" spans="1:33" x14ac:dyDescent="0.25">
      <c r="A101" s="30"/>
      <c r="B101" s="30" t="s">
        <v>646</v>
      </c>
      <c r="C101" s="30"/>
      <c r="D101" s="30"/>
      <c r="E101" s="30"/>
      <c r="F101" s="741"/>
      <c r="G101" s="30"/>
      <c r="H101" s="30"/>
      <c r="I101" s="763"/>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row>
    <row r="102" spans="1:33" x14ac:dyDescent="0.25">
      <c r="A102" s="30"/>
      <c r="B102" s="30" t="s">
        <v>486</v>
      </c>
      <c r="C102" s="30"/>
      <c r="D102" s="30"/>
      <c r="E102" s="30"/>
      <c r="F102" s="741"/>
      <c r="G102" s="30"/>
      <c r="H102" s="30"/>
      <c r="I102" s="763"/>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row>
    <row r="103" spans="1:33" x14ac:dyDescent="0.25">
      <c r="A103" s="30"/>
      <c r="B103" s="30" t="s">
        <v>503</v>
      </c>
      <c r="C103" s="30"/>
      <c r="D103" s="30"/>
      <c r="E103" s="30"/>
      <c r="F103" s="741"/>
      <c r="G103" s="30"/>
      <c r="H103" s="30"/>
      <c r="I103" s="763"/>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row>
    <row r="104" spans="1:33" x14ac:dyDescent="0.25">
      <c r="A104" s="30"/>
      <c r="B104" s="30"/>
      <c r="C104" s="30"/>
      <c r="D104" s="30"/>
      <c r="E104" s="30"/>
      <c r="F104" s="741"/>
      <c r="G104" s="30"/>
      <c r="H104" s="30"/>
      <c r="I104" s="763"/>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row>
    <row r="105" spans="1:33" x14ac:dyDescent="0.25">
      <c r="S105" s="30"/>
    </row>
    <row r="106" spans="1:33" x14ac:dyDescent="0.25">
      <c r="S106" s="30"/>
    </row>
  </sheetData>
  <sheetProtection algorithmName="SHA-512" hashValue="+VqFQaszRL8+MsIich2InMBR/P42UDqQe7UVxqc/ryjPE/5krJpwaFhDCNG+sugxu/GFA1IPHYxMjqd+NpoSEg==" saltValue="FUul0epBdGOrmq8Z0e/7Lg==" spinCount="100000" sheet="1" objects="1" scenarios="1"/>
  <mergeCells count="6">
    <mergeCell ref="AB66:AC66"/>
    <mergeCell ref="AB2:AB3"/>
    <mergeCell ref="AC2:AD2"/>
    <mergeCell ref="AH2:AN2"/>
    <mergeCell ref="AO2:AT2"/>
    <mergeCell ref="AC7:AD7"/>
  </mergeCell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B1:AC296"/>
  <sheetViews>
    <sheetView zoomScale="70" zoomScaleNormal="70" workbookViewId="0">
      <selection activeCell="AK7" sqref="AK7"/>
    </sheetView>
  </sheetViews>
  <sheetFormatPr baseColWidth="10" defaultColWidth="11.42578125" defaultRowHeight="21" x14ac:dyDescent="0.35"/>
  <cols>
    <col min="1" max="1" width="4" style="299" customWidth="1"/>
    <col min="2" max="2" width="10.140625" style="299" hidden="1" customWidth="1"/>
    <col min="3" max="3" width="34" style="299" customWidth="1"/>
    <col min="4" max="5" width="20.5703125" style="299" customWidth="1"/>
    <col min="6" max="6" width="23.42578125" style="299" customWidth="1"/>
    <col min="7" max="7" width="20.7109375" style="299" customWidth="1"/>
    <col min="8" max="8" width="22.28515625" style="299" customWidth="1"/>
    <col min="9" max="9" width="22.42578125" style="299" customWidth="1"/>
    <col min="10" max="10" width="24.28515625" style="299" customWidth="1"/>
    <col min="11" max="11" width="26.42578125" style="299" customWidth="1"/>
    <col min="12" max="12" width="47.7109375" style="299" customWidth="1"/>
    <col min="13" max="13" width="8" style="299" customWidth="1"/>
    <col min="14" max="14" width="118.85546875" style="1364" hidden="1" customWidth="1"/>
    <col min="15" max="15" width="42.42578125" style="1364" hidden="1" customWidth="1"/>
    <col min="16" max="16" width="16.5703125" style="1364" hidden="1" customWidth="1"/>
    <col min="17" max="17" width="15" style="1364" hidden="1" customWidth="1"/>
    <col min="18" max="18" width="22.7109375" style="1364" hidden="1" customWidth="1"/>
    <col min="19" max="19" width="19" style="1364" hidden="1" customWidth="1"/>
    <col min="20" max="20" width="15.7109375" style="1364" hidden="1" customWidth="1"/>
    <col min="21" max="21" width="18.5703125" style="1364" hidden="1" customWidth="1"/>
    <col min="22" max="22" width="20.42578125" style="1364" hidden="1" customWidth="1"/>
    <col min="23" max="23" width="23.28515625" style="1364" hidden="1" customWidth="1"/>
    <col min="24" max="24" width="19.140625" style="1364" hidden="1" customWidth="1"/>
    <col min="25" max="25" width="10.140625" style="299" hidden="1" customWidth="1"/>
    <col min="26" max="26" width="14.140625" style="299" hidden="1" customWidth="1"/>
    <col min="27" max="27" width="28.140625" style="299" hidden="1" customWidth="1"/>
    <col min="28" max="28" width="13.7109375" style="299" hidden="1" customWidth="1"/>
    <col min="29" max="29" width="13.28515625" style="299" hidden="1" customWidth="1"/>
    <col min="30" max="34" width="0" style="299" hidden="1" customWidth="1"/>
    <col min="35" max="16384" width="11.42578125" style="299"/>
  </cols>
  <sheetData>
    <row r="1" spans="2:24" ht="54" customHeight="1" x14ac:dyDescent="0.35">
      <c r="B1" s="1852"/>
      <c r="C1" s="1852"/>
      <c r="D1" s="1871" t="s">
        <v>1455</v>
      </c>
      <c r="E1" s="1872"/>
      <c r="F1" s="1872"/>
      <c r="G1" s="1872"/>
      <c r="H1" s="1872"/>
      <c r="I1" s="1872"/>
      <c r="J1" s="1872"/>
      <c r="K1" s="1872"/>
      <c r="L1" s="977" t="s">
        <v>1595</v>
      </c>
    </row>
    <row r="2" spans="2:24" ht="27" customHeight="1" thickBot="1" x14ac:dyDescent="0.4">
      <c r="B2" s="1853"/>
      <c r="C2" s="1854"/>
      <c r="D2" s="1873"/>
      <c r="E2" s="1874"/>
      <c r="F2" s="1874"/>
      <c r="G2" s="1874"/>
      <c r="H2" s="1874"/>
      <c r="I2" s="1874"/>
      <c r="J2" s="1874"/>
      <c r="K2" s="1874"/>
      <c r="L2" s="309" t="s">
        <v>1731</v>
      </c>
    </row>
    <row r="3" spans="2:24" ht="42" customHeight="1" x14ac:dyDescent="0.35">
      <c r="B3" s="1855" t="s">
        <v>1456</v>
      </c>
      <c r="C3" s="1855"/>
      <c r="D3" s="1855"/>
      <c r="E3" s="1855"/>
      <c r="F3" s="1855"/>
      <c r="G3" s="1855"/>
      <c r="H3" s="1855"/>
      <c r="I3" s="1855"/>
      <c r="J3" s="1855"/>
      <c r="K3" s="1855"/>
      <c r="L3" s="1855"/>
    </row>
    <row r="4" spans="2:24" s="1100" customFormat="1" ht="32.25" customHeight="1" x14ac:dyDescent="0.35">
      <c r="C4" s="694" t="s">
        <v>0</v>
      </c>
      <c r="D4" s="1856" t="str">
        <f>_xlfn.IFNA(VLOOKUP(D5,LISTAS!F3:H98,3,),"")</f>
        <v xml:space="preserve">80000 - DIRECCIÓN SECTOR MOVILIDAD </v>
      </c>
      <c r="E4" s="1856"/>
      <c r="F4" s="1856"/>
      <c r="G4" s="1856"/>
      <c r="H4" s="1856"/>
      <c r="I4" s="598"/>
      <c r="J4" s="598"/>
      <c r="K4" s="598"/>
      <c r="L4" s="597"/>
      <c r="M4" s="1701" t="s">
        <v>1824</v>
      </c>
      <c r="N4" s="1364"/>
      <c r="O4" s="1364"/>
      <c r="P4" s="1364"/>
      <c r="Q4" s="1364"/>
      <c r="R4" s="1364"/>
      <c r="S4" s="1364"/>
      <c r="T4" s="1364"/>
      <c r="U4" s="1364"/>
      <c r="V4" s="1364"/>
      <c r="W4" s="1364"/>
      <c r="X4" s="1364"/>
    </row>
    <row r="5" spans="2:24" s="1100" customFormat="1" ht="39.75" customHeight="1" x14ac:dyDescent="0.35">
      <c r="C5" s="785" t="s">
        <v>1144</v>
      </c>
      <c r="D5" s="1857" t="s">
        <v>399</v>
      </c>
      <c r="E5" s="1858"/>
      <c r="F5" s="1858"/>
      <c r="G5" s="1858"/>
      <c r="H5" s="1858"/>
      <c r="J5" s="694" t="s">
        <v>2</v>
      </c>
      <c r="K5" s="860">
        <v>2024</v>
      </c>
      <c r="L5" s="1364"/>
      <c r="N5" s="1364"/>
      <c r="O5" s="1364"/>
      <c r="P5" s="1364"/>
      <c r="Q5" s="1364"/>
      <c r="R5" s="1364"/>
      <c r="S5" s="1364"/>
      <c r="T5" s="1364"/>
      <c r="U5" s="1364"/>
      <c r="V5" s="1364"/>
      <c r="W5" s="1364"/>
      <c r="X5" s="1364"/>
    </row>
    <row r="6" spans="2:24" s="1100" customFormat="1" ht="24.75" customHeight="1" x14ac:dyDescent="0.35">
      <c r="C6" s="694" t="s">
        <v>1589</v>
      </c>
      <c r="D6" s="1858">
        <v>2025</v>
      </c>
      <c r="E6" s="1858"/>
      <c r="F6" s="1858"/>
      <c r="G6" s="305"/>
      <c r="H6" s="1101"/>
      <c r="J6" s="694" t="s">
        <v>3</v>
      </c>
      <c r="K6" s="859">
        <v>87</v>
      </c>
      <c r="L6" s="1015"/>
      <c r="M6" s="1102"/>
      <c r="N6" s="1364"/>
      <c r="O6" s="1364"/>
      <c r="P6" s="1364"/>
      <c r="Q6" s="1364"/>
      <c r="R6" s="1364"/>
      <c r="S6" s="1364"/>
      <c r="T6" s="1364"/>
      <c r="U6" s="1364"/>
      <c r="V6" s="1364"/>
      <c r="W6" s="1364"/>
      <c r="X6" s="1364"/>
    </row>
    <row r="7" spans="2:24" s="1100" customFormat="1" ht="31.5" customHeight="1" x14ac:dyDescent="0.35">
      <c r="C7" s="694" t="s">
        <v>4</v>
      </c>
      <c r="D7" s="1859">
        <v>45693</v>
      </c>
      <c r="E7" s="1859"/>
      <c r="F7" s="1859"/>
      <c r="G7" s="1859"/>
      <c r="H7" s="1859"/>
      <c r="J7" s="785" t="s">
        <v>1145</v>
      </c>
      <c r="K7" s="975">
        <v>45693</v>
      </c>
      <c r="L7" s="1675"/>
      <c r="M7" s="1102"/>
      <c r="N7" s="1364"/>
      <c r="O7" s="1364"/>
      <c r="P7" s="1364"/>
      <c r="Q7" s="1364"/>
      <c r="R7" s="1364"/>
      <c r="S7" s="1364"/>
      <c r="T7" s="1364"/>
      <c r="U7" s="1364"/>
      <c r="V7" s="1364"/>
      <c r="W7" s="1364"/>
      <c r="X7" s="1364"/>
    </row>
    <row r="8" spans="2:24" ht="26.25" customHeight="1" thickBot="1" x14ac:dyDescent="0.4">
      <c r="B8" s="987"/>
      <c r="C8" s="988"/>
      <c r="D8" s="988"/>
      <c r="E8" s="988"/>
      <c r="F8" s="988"/>
      <c r="G8" s="988"/>
      <c r="H8" s="988"/>
      <c r="I8" s="988"/>
      <c r="J8" s="988"/>
      <c r="K8" s="989"/>
      <c r="L8" s="1676"/>
    </row>
    <row r="9" spans="2:24" ht="30" customHeight="1" x14ac:dyDescent="0.35">
      <c r="B9" s="1860" t="s">
        <v>477</v>
      </c>
      <c r="C9" s="1861" t="s">
        <v>477</v>
      </c>
      <c r="D9" s="1864" t="s">
        <v>1457</v>
      </c>
      <c r="E9" s="1865" t="s">
        <v>519</v>
      </c>
      <c r="F9" s="1864"/>
      <c r="G9" s="1868" t="s">
        <v>1458</v>
      </c>
      <c r="H9" s="1869" t="s">
        <v>1459</v>
      </c>
      <c r="I9" s="1869"/>
      <c r="J9" s="1870"/>
      <c r="K9" s="1861" t="s">
        <v>1612</v>
      </c>
      <c r="L9" s="1849" t="s">
        <v>1735</v>
      </c>
    </row>
    <row r="10" spans="2:24" ht="12.75" customHeight="1" x14ac:dyDescent="0.35">
      <c r="B10" s="1860"/>
      <c r="C10" s="1862"/>
      <c r="D10" s="1864"/>
      <c r="E10" s="1865"/>
      <c r="F10" s="1864"/>
      <c r="G10" s="1868"/>
      <c r="H10" s="1875" t="s">
        <v>192</v>
      </c>
      <c r="I10" s="1875" t="s">
        <v>194</v>
      </c>
      <c r="J10" s="1877" t="s">
        <v>1460</v>
      </c>
      <c r="K10" s="1862"/>
      <c r="L10" s="1850"/>
      <c r="N10" s="865" t="s">
        <v>1691</v>
      </c>
    </row>
    <row r="11" spans="2:24" ht="17.25" customHeight="1" thickBot="1" x14ac:dyDescent="0.4">
      <c r="B11" s="1860"/>
      <c r="C11" s="1863"/>
      <c r="D11" s="1864"/>
      <c r="E11" s="1866"/>
      <c r="F11" s="1867"/>
      <c r="G11" s="1868"/>
      <c r="H11" s="1876"/>
      <c r="I11" s="1876"/>
      <c r="J11" s="1878"/>
      <c r="K11" s="1863"/>
      <c r="L11" s="1851"/>
      <c r="N11" s="1365" t="s">
        <v>1688</v>
      </c>
      <c r="O11" s="1365" t="s">
        <v>699</v>
      </c>
      <c r="P11" s="1365" t="s">
        <v>1692</v>
      </c>
      <c r="Q11" s="1365" t="s">
        <v>1686</v>
      </c>
      <c r="R11" s="1365" t="s">
        <v>1695</v>
      </c>
      <c r="S11" s="1365" t="s">
        <v>1696</v>
      </c>
      <c r="T11" s="1365" t="s">
        <v>1687</v>
      </c>
      <c r="U11" s="1365" t="s">
        <v>1697</v>
      </c>
      <c r="V11" s="1365" t="s">
        <v>1689</v>
      </c>
      <c r="W11" s="1366" t="s">
        <v>1690</v>
      </c>
      <c r="X11" s="1365" t="s">
        <v>1693</v>
      </c>
    </row>
    <row r="12" spans="2:24" ht="31.5" customHeight="1" x14ac:dyDescent="0.35">
      <c r="B12" s="1728" t="s">
        <v>493</v>
      </c>
      <c r="C12" s="1797" t="s">
        <v>493</v>
      </c>
      <c r="D12" s="1821">
        <f>IF(VLOOKUP($D$5,TablaSujetos215[],3,FALSE)="PUBLICA",VLOOKUP(B12,TablaMacroprocesos43817[],2,FALSE),IF(VLOOKUP($D$5,TablaSujetos215[],3,FALSE)="PUBLICA con ing",VLOOKUP(B12,TablaMacroprocesos43817[],3,FALSE),IF(VLOOKUP($D$5,TablaSujetos215[],3,FALSE)="PUBLICA sin ing",VLOOKUP(B12,TablaMacroprocesos43817[],4,FALSE),IF(VLOOKUP($D$5,TablaSujetos215[],3,FALSE)="MIXTA&lt;50",VLOOKUP(B12,TablaMacroprocesos43817[],7,FALSE),IF(VLOOKUP($D$5,TablaSujetos215[],3,FALSE)="MIXTA&gt;50",VLOOKUP(B12,TablaMacroprocesos43817[],5,FALSE),IF(VLOOKUP($D$5,TablaSujetos215[],3,FALSE)="MIXTA&gt;50 sin ing",VLOOKUP(B12,TablaMacroprocesos43817[],6,FALSE),IF(VLOOKUP($D$5,TablaSujetos215[],3,FALSE)="CORPORACION",VLOOKUP(B12,TablaMacroprocesos43817[],8,FALSE),IF(VLOOKUP($D$5,TablaSujetos215[],3,FALSE)="100 - Concejo de Bogotá D.C.",0.55,VLOOKUP(B12,TablaMacroprocesos43817[],9,FALSE)))))))))</f>
        <v>0.35</v>
      </c>
      <c r="E12" s="1826" t="str">
        <f>IF(D5="206 - Fondo de Prestaciones Económicas, Cesantías y Pensiones – FONCEP ","ESTADOS FINANCIEROS FONCEP",IF(D5="262 - Empresa de Transporte del Tercer Milenio - Transmilenio S.A. ","ESTADOS FINANCIEROS Transmilenio S.A.","ESTADOS FINANCIEROS"))</f>
        <v>ESTADOS FINANCIEROS Transmilenio S.A.</v>
      </c>
      <c r="F12" s="1827"/>
      <c r="G12" s="1839">
        <f>IF(VLOOKUP($D$5,TablaSujetos215[],3,FALSE)="PUBLICA con ing",VLOOKUP(E12,TablaProcesos516[],2,FALSE),IF(VLOOKUP($D$5,TablaSujetos215[],3,FALSE)="PUBLICA sin ing",VLOOKUP(E12,TablaProcesos516[],3,FALSE),IF(VLOOKUP($D$5,TablaSujetos215[],3,FALSE)="PUBLICA",VLOOKUP(E12,TablaProcesos516[],4,FALSE),IF(VLOOKUP($D$5,TablaSujetos215[],3,FALSE)="MIXTA&gt;50 sin ing",VLOOKUP(E12,TablaProcesos516[],5,FALSE),IF(VLOOKUP($D$5,TablaSujetos215[],3,FALSE)="MIXTA&gt;50",VLOOKUP(E12,TablaProcesos516[],6,FALSE),IF(VLOOKUP($D$5,TablaSujetos215[],3,FALSE)="MIXTA&lt;50",VLOOKUP(E12,TablaProcesos516[],7,FALSE),IF(VLOOKUP($D$5,TablaSujetos215[],3,FALSE)="CORPORACION",VLOOKUP(E12,TablaProcesos516[],8,FALSE),IF(G16="NO APLICA",1,VLOOKUP(E12,TablaProcesos516[],9,FALSE)))))))))</f>
        <v>0.3</v>
      </c>
      <c r="H12" s="1830">
        <f>IF(D5="206 - Fondo de Prestaciones Económicas, Cesantías y Pensiones – FONCEP",'HALLAZGOS OPINIÓN_FIN'!H163,IF(D5="262 - Empresa de Transporte del Tercer Milenio - Transmilenio S.A. ",'HALLAZGOS OPINIÓN_FIN'!H163,'HALLAZGOS OPINIÓN_FIN'!H163))</f>
        <v>1</v>
      </c>
      <c r="I12" s="1759"/>
      <c r="J12" s="1761"/>
      <c r="K12" s="1769">
        <f>G12*H12</f>
        <v>0.3</v>
      </c>
      <c r="L12" s="990" t="str">
        <f>IF(D5="206 - Fondo de Prestaciones Económicas, Cesantías y Pensiones – FONCEP ","OPINIÓN ESTADOS FINANCIEROS FONCEP",IF(D5="262 - Empresa de Transporte del Tercer Milenio - Transmilenio S.A. ","OPINION ESTADOS FINANCIEROS Transmilenio S.A.","OPINIÓN ESTADOS FINANCIEROS"))</f>
        <v>OPINION ESTADOS FINANCIEROS Transmilenio S.A.</v>
      </c>
      <c r="N12" s="1385" t="s">
        <v>1701</v>
      </c>
      <c r="O12" s="1367">
        <f>+'HALLAZGOS OPINIÓN_FIN'!B12</f>
        <v>1000</v>
      </c>
      <c r="P12" s="1716">
        <v>0.35</v>
      </c>
      <c r="Q12" s="1716">
        <v>0.6</v>
      </c>
      <c r="R12" s="1368">
        <f>+$O$12/$O$14</f>
        <v>0.5</v>
      </c>
      <c r="S12" s="1369">
        <f>+R12</f>
        <v>0.5</v>
      </c>
      <c r="T12" s="1368">
        <f>+'HALLAZGOS OPINIÓN_FIN'!H163</f>
        <v>1</v>
      </c>
      <c r="U12" s="1369">
        <f>+T12</f>
        <v>1</v>
      </c>
      <c r="V12" s="1369">
        <f>+U12</f>
        <v>1</v>
      </c>
      <c r="W12" s="1370">
        <f>+R12*Q12</f>
        <v>0.3</v>
      </c>
      <c r="X12" s="1371">
        <f>+W12*P12</f>
        <v>0.105</v>
      </c>
    </row>
    <row r="13" spans="2:24" ht="24.75" customHeight="1" thickBot="1" x14ac:dyDescent="0.4">
      <c r="B13" s="1729"/>
      <c r="C13" s="1798"/>
      <c r="D13" s="1764"/>
      <c r="E13" s="1828"/>
      <c r="F13" s="1829"/>
      <c r="G13" s="1739"/>
      <c r="H13" s="1831"/>
      <c r="I13" s="1760"/>
      <c r="J13" s="1762"/>
      <c r="K13" s="1770"/>
      <c r="L13" s="1103" t="str">
        <f>+'HALLAZGOS OPINIÓN_FIN'!G163</f>
        <v>Limpia o Sin Salvedades</v>
      </c>
      <c r="M13" s="789"/>
      <c r="N13" s="1409" t="s">
        <v>1703</v>
      </c>
      <c r="O13" s="1367">
        <f>+'HALLAZGOS OPINIÓN_FIN Otros'!B12</f>
        <v>1000</v>
      </c>
      <c r="P13" s="1717"/>
      <c r="Q13" s="1717"/>
      <c r="R13" s="1368">
        <f>+$O$13/$O$14</f>
        <v>0.5</v>
      </c>
      <c r="S13" s="1369">
        <f>+R13</f>
        <v>0.5</v>
      </c>
      <c r="T13" s="1368">
        <f>+'HALLAZGOS OPINIÓN_FIN Otros'!H163</f>
        <v>1</v>
      </c>
      <c r="U13" s="1369">
        <f>+T13</f>
        <v>1</v>
      </c>
      <c r="V13" s="1369">
        <f>+U13</f>
        <v>1</v>
      </c>
      <c r="W13" s="1370">
        <f>+R13*Q12</f>
        <v>0.3</v>
      </c>
      <c r="X13" s="1371">
        <f>+W13*P12</f>
        <v>0.105</v>
      </c>
    </row>
    <row r="14" spans="2:24" ht="24.75" customHeight="1" x14ac:dyDescent="0.35">
      <c r="B14" s="1729"/>
      <c r="C14" s="1798"/>
      <c r="D14" s="1764"/>
      <c r="E14" s="1786" t="str">
        <f>IF(D5=LISTAS!R41,"ESTADOS FINANCIEROS Fondo de Pensiones Públicas de Bogotá – FPPB",IF(D5="262 - Empresa de Transporte del Tercer Milenio - Transmilenio S.A. ","ESTADOS FINANCIEROS Sistema Integrado de Transporte Público - SITP",""))</f>
        <v>ESTADOS FINANCIEROS Sistema Integrado de Transporte Público - SITP</v>
      </c>
      <c r="F14" s="1787"/>
      <c r="G14" s="1791">
        <f>IF(E14="ESTADOS FINANCIEROS Fondo de Pensiones Públicas de Bogotá – FPPB",W13,IF(E14="ESTADOS FINANCIEROS Sistema Integrado de Transporte Público - SITP",W13,""))</f>
        <v>0.3</v>
      </c>
      <c r="H14" s="1793">
        <f>IF(D5="206 - Fondo de Prestaciones Económicas, Cesantías y Pensiones – FONCEP ",'HALLAZGOS OPINIÓN_FIN Otros'!H163,IF(D5="262 - Empresa de Transporte del Tercer Milenio - Transmilenio S.A. ",'HALLAZGOS OPINIÓN_FIN Otros'!H163,""))</f>
        <v>1</v>
      </c>
      <c r="I14" s="1347"/>
      <c r="J14" s="1344"/>
      <c r="K14" s="1773">
        <f>IFERROR(IF(D14="No Aplica","No Aplica",IF(G14="No Aplica","No Aplica",(G14*H14))),"")</f>
        <v>0.3</v>
      </c>
      <c r="L14" s="1386" t="str">
        <f>IF(D5="206 - Fondo de Prestaciones Económicas, Cesantías y Pensiones – FONCEP ","OPINIÓN ESTADOS FINANCIEROS FPPB",IF(D5="262 - Empresa de Transporte del Tercer Milenio - Transmilenio S.A. ","OPINIÓN ESTADOS FINANCIEROS SITP",""))</f>
        <v>OPINIÓN ESTADOS FINANCIEROS SITP</v>
      </c>
      <c r="M14" s="789"/>
      <c r="N14" s="1372" t="s">
        <v>1685</v>
      </c>
      <c r="O14" s="1367">
        <f>SUM(O12:O13)</f>
        <v>2000</v>
      </c>
      <c r="P14" s="1717"/>
      <c r="Q14" s="1718"/>
      <c r="R14" s="1373">
        <v>1</v>
      </c>
      <c r="S14" s="1369">
        <f t="shared" ref="S14" si="0">+R14</f>
        <v>1</v>
      </c>
      <c r="T14" s="1374"/>
      <c r="U14" s="1369"/>
      <c r="V14" s="1369"/>
      <c r="W14" s="1370">
        <f>SUM(W12:W13)</f>
        <v>0.6</v>
      </c>
      <c r="X14" s="1375"/>
    </row>
    <row r="15" spans="2:24" ht="32.450000000000003" customHeight="1" x14ac:dyDescent="0.35">
      <c r="B15" s="1729"/>
      <c r="C15" s="1798"/>
      <c r="D15" s="1764"/>
      <c r="E15" s="1788"/>
      <c r="F15" s="1789"/>
      <c r="G15" s="1792"/>
      <c r="H15" s="1794"/>
      <c r="I15" s="1347"/>
      <c r="J15" s="1344"/>
      <c r="K15" s="1772"/>
      <c r="L15" s="1383" t="str">
        <f>IF(L14="","",+'HALLAZGOS OPINIÓN_FIN Otros'!G163)</f>
        <v>Limpia o Sin Salvedades</v>
      </c>
      <c r="M15" s="789"/>
      <c r="N15" s="1777" t="s">
        <v>1694</v>
      </c>
      <c r="O15" s="1778"/>
      <c r="P15" s="1718"/>
      <c r="Q15" s="1371">
        <v>0.4</v>
      </c>
      <c r="R15" s="404"/>
      <c r="S15" s="404"/>
      <c r="W15" s="1376"/>
      <c r="X15" s="1371">
        <f>+Q15*P12</f>
        <v>0.13999999999999999</v>
      </c>
    </row>
    <row r="16" spans="2:24" ht="30" customHeight="1" x14ac:dyDescent="0.35">
      <c r="B16" s="1729"/>
      <c r="C16" s="1798"/>
      <c r="D16" s="1764"/>
      <c r="E16" s="1816" t="str">
        <f>IF(D5="206 - Fondo de Prestaciones Económicas, Cesantías y Pensiones – FONCEP ","DESEMPEÑO FINANCIERO FONCEP",IF(D5="262 - Empresa de Transporte del Tercer Milenio - Transmilenio S.A. ","DESEMPEÑO FINANCIERO Transmilenio S.A.","DESEMPEÑO FINANCIERO"))</f>
        <v>DESEMPEÑO FINANCIERO Transmilenio S.A.</v>
      </c>
      <c r="F16" s="1817"/>
      <c r="G16" s="1738">
        <f>IF(VLOOKUP($D$5,TablaSujetos215[],3,FALSE)="PUBLICA con ing",VLOOKUP(E16,TablaProcesos516[],2,FALSE),IF(VLOOKUP($D$5,TablaSujetos215[],3,FALSE)="PUBLICA sin ing",VLOOKUP(E16,TablaProcesos516[],3,FALSE),IF(VLOOKUP($D$5,TablaSujetos215[],3,FALSE)="PUBLICA",VLOOKUP(E16,TablaProcesos516[],4,FALSE),IF(VLOOKUP($D$5,TablaSujetos215[],3,FALSE)="MIXTA&gt;50 sin ing",VLOOKUP(E16,TablaProcesos516[],5,FALSE),IF(VLOOKUP($D$5,TablaSujetos215[],3,FALSE)="MIXTA&gt;50",VLOOKUP(E16,TablaProcesos516[],6,FALSE),IF(VLOOKUP($D$5,TablaSujetos215[],3,FALSE)="MIXTA&lt;50",VLOOKUP(E16,TablaProcesos516[],7,FALSE),IF(VLOOKUP($D$5,TablaSujetos215[],3,FALSE)="CORPORACION",VLOOKUP(E16,TablaProcesos516[],8,FALSE),"No Aplica")))))))</f>
        <v>0.4</v>
      </c>
      <c r="H16" s="1740">
        <f>IF($H$12=0%,0%,IF(G16="No Aplica","No Aplica",IF(G16&gt;1%,'DESEMPEÑO FINANCIERO'!I17)))</f>
        <v>0.79285714285714282</v>
      </c>
      <c r="I16" s="1740">
        <f>IF($H$12=0%,0%,IF(G16="No Aplica","No Aplica",IF(G16&gt;1%,'DESEMPEÑO FINANCIERO'!J17)))</f>
        <v>0.78333333333333321</v>
      </c>
      <c r="J16" s="1790"/>
      <c r="K16" s="1771">
        <f>IFERROR(IF(D12="No Aplica","No Aplica",IF(G16="No Aplica","No Aplica",AVERAGE(H16:I17)*G16)),"")</f>
        <v>0.31523809523809521</v>
      </c>
      <c r="L16" s="991" t="s">
        <v>1461</v>
      </c>
      <c r="M16" s="789"/>
      <c r="O16" s="404"/>
      <c r="P16" s="404"/>
      <c r="Q16" s="1371">
        <v>1</v>
      </c>
      <c r="R16" s="404"/>
      <c r="S16" s="404"/>
      <c r="X16" s="1368">
        <f>SUM(X12:X15)</f>
        <v>0.35</v>
      </c>
    </row>
    <row r="17" spans="2:29" ht="23.45" customHeight="1" x14ac:dyDescent="0.35">
      <c r="B17" s="1729"/>
      <c r="C17" s="1798"/>
      <c r="D17" s="1822"/>
      <c r="E17" s="1818"/>
      <c r="F17" s="1819"/>
      <c r="G17" s="1739"/>
      <c r="H17" s="1741"/>
      <c r="I17" s="1741"/>
      <c r="J17" s="1762"/>
      <c r="K17" s="1772"/>
      <c r="L17" s="1097" t="str">
        <f>IF(G16="No Aplica","No Aplica",IF(AND(AVERAGE(H16:I16)&gt;=75%,AVERAGE(H16:I16)&lt;=100%),"Efectivo","Inefectivo"))</f>
        <v>Efectivo</v>
      </c>
      <c r="M17" s="789"/>
      <c r="S17" s="404"/>
    </row>
    <row r="18" spans="2:29" ht="36" customHeight="1" thickBot="1" x14ac:dyDescent="0.4">
      <c r="B18" s="1730"/>
      <c r="C18" s="1799"/>
      <c r="D18" s="1883" t="s">
        <v>1462</v>
      </c>
      <c r="E18" s="1883"/>
      <c r="F18" s="1884"/>
      <c r="G18" s="790" t="str">
        <f>IF(G14="",SUM(G12:G16),"100%")</f>
        <v>100%</v>
      </c>
      <c r="H18" s="1350">
        <f>IF(G14="",IFERROR(IF($D$12="No Aplica","No Aplica",IF($G$12="No Aplica",($G$16*H16),IF($G$16="No Aplica",($G$12*H12),($G$12*$H$12)+($G$16*$H$16)))),""),($G$12*$H$12)+(G14*H14)+($G$16*$H$16))</f>
        <v>0.91714285714285715</v>
      </c>
      <c r="I18" s="866">
        <f>IFERROR(IF(D12="No Aplica","No Aplica",IF($G$16="No Aplica","No Aplica",I16)),"")</f>
        <v>0.78333333333333321</v>
      </c>
      <c r="J18" s="867"/>
      <c r="K18" s="1574">
        <f>IF(G16="No Aplica",K12*D12,IF(K14="",IFERROR((K12*D12)+(K16*D12),""),(K12*D12)+(K14*D12)+(K16*D12)))</f>
        <v>0.3203333333333333</v>
      </c>
      <c r="L18" s="993" t="s">
        <v>148</v>
      </c>
      <c r="M18" s="791"/>
      <c r="N18" s="1387"/>
      <c r="Y18" s="1573"/>
    </row>
    <row r="19" spans="2:29" ht="38.450000000000003" customHeight="1" x14ac:dyDescent="0.35">
      <c r="B19" s="1820" t="s">
        <v>499</v>
      </c>
      <c r="C19" s="1728" t="s">
        <v>1463</v>
      </c>
      <c r="D19" s="1821">
        <f>IF(VLOOKUP($D$5,TablaSujetos215[],3,FALSE)="PUBLICA",VLOOKUP(B19,TablaMacroprocesos43817[],2,FALSE),IF(VLOOKUP($D$5,TablaSujetos215[],3,FALSE)="PUBLICA con ing",VLOOKUP(B19,TablaMacroprocesos43817[],3,FALSE),IF(VLOOKUP($D$5,TablaSujetos215[],3,FALSE)="PUBLICA sin ing",VLOOKUP(B19,TablaMacroprocesos43817[],4,FALSE),IF(VLOOKUP($D$5,TablaSujetos215[],3,FALSE)="MIXTA&lt;50",VLOOKUP(B19,TablaMacroprocesos43817[],7,FALSE),IF(VLOOKUP($D$5,TablaSujetos215[],3,FALSE)="MIXTA&gt;50",VLOOKUP(B19,TablaMacroprocesos43817[],5,FALSE),IF(VLOOKUP($D$5,TablaSujetos215[],3,FALSE)="MIXTA&gt;50 sin ing",VLOOKUP(B19,TablaMacroprocesos43817[],6,FALSE),IF(VLOOKUP($D$5,TablaSujetos215[],3,FALSE)="CORPORACION",VLOOKUP(B19,TablaMacroprocesos43817[],8,FALSE),IF(VLOOKUP($D$5,TablaSujetos215[],1,FALSE)="100 - Concejo de Bogotá D.C.",0.45,VLOOKUP(B19,TablaMacroprocesos43817[],9,FALSE)))))))))</f>
        <v>0.25</v>
      </c>
      <c r="E19" s="1823" t="s">
        <v>499</v>
      </c>
      <c r="F19" s="1845" t="s">
        <v>534</v>
      </c>
      <c r="G19" s="1839">
        <f>IF(VLOOKUP($D$5,TablaSujetos215[],3,FALSE)="PUBLICA con ing",VLOOKUP(F19,TablaProcesos516[],2,FALSE),IF(VLOOKUP($D$5,TablaSujetos215[],3,FALSE)="PUBLICA sin ing",VLOOKUP(F19,TablaProcesos516[],3,FALSE),IF(VLOOKUP($D$5,TablaSujetos215[],3,FALSE)="PUBLICA",VLOOKUP(F19,TablaProcesos516[],4,FALSE),IF(VLOOKUP($D$5,TablaSujetos215[],3,FALSE)="MIXTA&gt;50 sin ing",VLOOKUP(F19,TablaProcesos516[],5,FALSE),IF(VLOOKUP($D$5,TablaSujetos215[],3,FALSE)="MIXTA&gt;50",VLOOKUP(F19,TablaProcesos516[],6,FALSE),IF(VLOOKUP($D$5,TablaSujetos215[],3,FALSE)="MIXTA&lt;50",VLOOKUP(F19,TablaProcesos516[],7,FALSE),IF(VLOOKUP($D$5,TablaSujetos215[],3,FALSE)="CORPORACION",VLOOKUP(F19,TablaProcesos516[],8,FALSE),IF(VLOOKUP($D$5,TablaSujetos215[],1,FALSE)=LISTAS!F5,"No Aplica",VLOOKUP(F19,TablaProcesos516[],9,FALSE)))))))))</f>
        <v>0.4</v>
      </c>
      <c r="H19" s="1758">
        <f>IF(G19="No Aplica","No Aplica",IF(G19&gt;1%,'HALLAZGOS CONCEPTO_PRES'!E101))</f>
        <v>0.75</v>
      </c>
      <c r="I19" s="1759"/>
      <c r="J19" s="1761"/>
      <c r="K19" s="1808">
        <f>IFERROR(IF(D19="No Aplica","No aplica",IF(G19="No Aplica","No Aplica",(G19*H19))),"")</f>
        <v>0.30000000000000004</v>
      </c>
      <c r="L19" s="990" t="s">
        <v>1615</v>
      </c>
      <c r="N19" s="1387"/>
      <c r="O19" s="1387"/>
    </row>
    <row r="20" spans="2:29" ht="28.9" customHeight="1" x14ac:dyDescent="0.35">
      <c r="B20" s="1732"/>
      <c r="C20" s="1729"/>
      <c r="D20" s="1764"/>
      <c r="E20" s="1824"/>
      <c r="F20" s="1737"/>
      <c r="G20" s="1739"/>
      <c r="H20" s="1741"/>
      <c r="I20" s="1760"/>
      <c r="J20" s="1762"/>
      <c r="K20" s="1772"/>
      <c r="L20" s="1097" t="str">
        <f>IF('HALLAZGOS CONCEPTO_PRES'!D101="Abstención","Abstención",IF(G19="No Aplica","No Aplica",IF(AND(AVERAGE(H19)&gt;=75%,AVERAGE(H19)&lt;=100%),"Razonable",IF(AND(AVERAGE(H19)&gt;=65%,AVERAGE(H19)&lt;75%),"Con Salvedades","No Razonable"))))</f>
        <v>Razonable</v>
      </c>
      <c r="N20" s="1387"/>
      <c r="O20" s="1387"/>
    </row>
    <row r="21" spans="2:29" ht="34.15" customHeight="1" x14ac:dyDescent="0.35">
      <c r="B21" s="1732"/>
      <c r="C21" s="1729"/>
      <c r="D21" s="1764"/>
      <c r="E21" s="1824"/>
      <c r="F21" s="1736" t="s">
        <v>540</v>
      </c>
      <c r="G21" s="1738">
        <f>IF(VLOOKUP($D$5,TablaSujetos215[],3,FALSE)="PUBLICA con ing",VLOOKUP(F21,TablaProcesos516[],2,FALSE),IF(VLOOKUP($D$5,TablaSujetos215[],3,FALSE)="PUBLICA sin ing",VLOOKUP(F21,TablaProcesos516[],3,FALSE),IF(VLOOKUP($D$5,TablaSujetos215[],3,FALSE)="PUBLICA",VLOOKUP(F21,TablaProcesos516[],4,FALSE),IF(VLOOKUP($D$5,TablaSujetos215[],3,FALSE)="MIXTA&gt;50 sin ing",VLOOKUP(F21,TablaProcesos516[],3,FALSE),IF(VLOOKUP($D$5,TablaSujetos215[],3,FALSE)="MIXTA&gt;50",VLOOKUP(F21,TablaProcesos516[],6,FALSE),IF(VLOOKUP($D$5,TablaSujetos215[],3,FALSE)="MIXTA&lt;50",VLOOKUP(F21,TablaProcesos516[],7,FALSE),IF(VLOOKUP($D$5,TablaSujetos215[],3,FALSE)="CORPORACION",VLOOKUP(F21,TablaProcesos516[],8,FALSE),IF(VLOOKUP($D$5,TablaSujetos215[],1,FALSE)="CONCEJO","NO APLICA",VLOOKUP(F21,TablaProcesos516[],9,FALSE)))))))))</f>
        <v>0.6</v>
      </c>
      <c r="H21" s="1740">
        <f>IF(G21="No Aplica","No Aplica",IF(G21&gt;1%,'HALLAZGOS CONCEPTO_PRES'!E102))</f>
        <v>1</v>
      </c>
      <c r="I21" s="1751"/>
      <c r="J21" s="1725"/>
      <c r="K21" s="1771">
        <f>IFERROR(IF(D21="No Aplica","No Aplica",IF(G21="No Aplica","No Aplica",(G21*H21))),"")</f>
        <v>0.6</v>
      </c>
      <c r="L21" s="991" t="s">
        <v>1614</v>
      </c>
      <c r="N21" s="1387"/>
    </row>
    <row r="22" spans="2:29" ht="24.6" customHeight="1" x14ac:dyDescent="0.35">
      <c r="B22" s="1732"/>
      <c r="C22" s="1729"/>
      <c r="D22" s="1764"/>
      <c r="E22" s="1825"/>
      <c r="F22" s="1737"/>
      <c r="G22" s="1739"/>
      <c r="H22" s="1741"/>
      <c r="I22" s="1752"/>
      <c r="J22" s="1727"/>
      <c r="K22" s="1772"/>
      <c r="L22" s="1097" t="str">
        <f>IF('HALLAZGOS CONCEPTO_PRES'!D102="Abstención","Abstención",IF(G21="No Aplica","No Aplica",IF(AND(AVERAGE(H21)&gt;=75%,AVERAGE(H21)&lt;=100%),"Razonable",IF(AND(AVERAGE(H21)&gt;=65%,AVERAGE(H21)&lt;75%),"Con Salvedades","No Razonable"))))</f>
        <v>Razonable</v>
      </c>
      <c r="AA22" s="1690" t="s">
        <v>1777</v>
      </c>
      <c r="AB22" s="1690" t="s">
        <v>192</v>
      </c>
      <c r="AC22" s="1690" t="s">
        <v>194</v>
      </c>
    </row>
    <row r="23" spans="2:29" ht="28.9" customHeight="1" x14ac:dyDescent="0.35">
      <c r="B23" s="1733"/>
      <c r="C23" s="1729"/>
      <c r="D23" s="1764"/>
      <c r="E23" s="1779" t="s">
        <v>1464</v>
      </c>
      <c r="F23" s="1780"/>
      <c r="G23" s="1783">
        <f>IF(D19="No Aplica","No Aplica",SUM(G19:G22))</f>
        <v>1</v>
      </c>
      <c r="H23" s="1785">
        <f>IFERROR(IF(D19="No Aplica","No Aplica",IF(G19="No Aplica",(G21*H21),IF(G21="No Aplica",(G19*H19),(G19*H19)+(G21*H21)))),"")</f>
        <v>0.9</v>
      </c>
      <c r="I23" s="1751"/>
      <c r="J23" s="1725"/>
      <c r="K23" s="1809">
        <f>IF(D19="No Aplica","No Aplica",SUM(K19:K22)*D19)</f>
        <v>0.22500000000000001</v>
      </c>
      <c r="L23" s="991" t="s">
        <v>1616</v>
      </c>
      <c r="AA23" s="1673" t="s">
        <v>1537</v>
      </c>
      <c r="AB23" s="1693">
        <f>+'PLANES Y PROYECTOS'!$J$17</f>
        <v>0.78992946269416864</v>
      </c>
      <c r="AC23" s="1693">
        <f>+'PLANES Y PROYECTOS'!$M$17</f>
        <v>0.79688818827863783</v>
      </c>
    </row>
    <row r="24" spans="2:29" ht="22.9" customHeight="1" x14ac:dyDescent="0.35">
      <c r="B24" s="1732"/>
      <c r="C24" s="1729"/>
      <c r="D24" s="1822"/>
      <c r="E24" s="1781"/>
      <c r="F24" s="1782"/>
      <c r="G24" s="1784"/>
      <c r="H24" s="1766"/>
      <c r="I24" s="1752"/>
      <c r="J24" s="1727"/>
      <c r="K24" s="1810"/>
      <c r="L24" s="1097" t="str">
        <f>IF('HALLAZGOS CONCEPTO_PRES'!G101="Abstención","Abstención",IF(G23="No Aplica","No Aplica",IF(AND(AVERAGE(H23)&gt;=75%,AVERAGE(H23)&lt;=100%),"Razonable",IF(AND(AVERAGE(H23)&gt;=65%,AVERAGE(H23)&lt;75%),"Con Salvedades","No Razonable"))))</f>
        <v>Razonable</v>
      </c>
      <c r="N24" s="1388"/>
      <c r="AA24" s="1673" t="s">
        <v>1743</v>
      </c>
      <c r="AB24" s="1693">
        <f>+'PLAN ESTRATÉGICO'!$K$13</f>
        <v>0.87548076923076923</v>
      </c>
      <c r="AC24" s="1693">
        <f>+'PLAN ESTRATÉGICO'!$K$14</f>
        <v>0.64919028340080964</v>
      </c>
    </row>
    <row r="25" spans="2:29" ht="16.899999999999999" customHeight="1" x14ac:dyDescent="0.35">
      <c r="B25" s="861"/>
      <c r="C25" s="1729"/>
      <c r="D25" s="1763">
        <f>IF(VLOOKUP($D$5,TablaSujetos215[],1,FALSE)="100 - Concejo de Bogotá D.C.","No Aplica",IF(VLOOKUP($D$5,TablaSujetos215[],3,FALSE)="MIXTA&lt;50",VLOOKUP(B26,TablaMacroprocesos43817[],5,FALSE),IF(VLOOKUP($D$5,TablaSujetos215[],3,FALSE)="MIXTA&gt;50 sin ing",VLOOKUP(B26,TablaMacroprocesos43817[],4,FALSE),IF(VLOOKUP($D$5,TablaSujetos215[],3,FALSE)="MIXTA&gt;50",VLOOKUP(B26,TablaMacroprocesos43817[],3,FALSE),IF(VLOOKUP($D$5,TablaSujetos215[],3,FALSE)="CORPORACION",VLOOKUP(B26,TablaMacroprocesos43817[],6,FALSE),VLOOKUP(B26,TablaMacroprocesos43817[],2,FALSE))))))</f>
        <v>0.4</v>
      </c>
      <c r="E25" s="1840" t="s">
        <v>1465</v>
      </c>
      <c r="F25" s="1843" t="s">
        <v>1719</v>
      </c>
      <c r="G25" s="1832">
        <f>IF(VLOOKUP($D$5,TablaSujetos215[],3,FALSE)="PUBLICA con ing",VLOOKUP(F25,TablaProcesos516[],2,FALSE),IF(VLOOKUP($D$5,TablaSujetos215[],3,FALSE)="PUBLICA sin ing",VLOOKUP(F25,TablaProcesos516[],3,FALSE),IF(VLOOKUP($D$5,TablaSujetos215[],3,FALSE)="PUBLICA",VLOOKUP(F25,TablaProcesos516[],4,FALSE),IF(VLOOKUP($D$5,TablaSujetos215[],3,FALSE)="MIXTA&lt;50",VLOOKUP(F25,TablaProcesos516[],7,FALSE),IF(VLOOKUP($D$5,TablaSujetos215[],3,FALSE)="MIXTA&gt;50",VLOOKUP(F25,TablaProcesos516[],6,FALSE),IF(VLOOKUP($D$5,TablaSujetos215[],3,FALSE)="MIXTA&gt;50 sin ing",VLOOKUP(F25,TablaProcesos516[],5,FALSE),IF(VLOOKUP($D$5,TablaSujetos215[],3,FALSE)="CORPORACION",VLOOKUP(F25,TablaProcesos516[],5,FALSE),IF(VLOOKUP($D$5,TablaSujetos215[],1,FALSE)="100 - Concejo de Bogotá D.C.","No Aplica",VLOOKUP(F25,TablaProcesos516[],2,FALSE)))))))))</f>
        <v>0.4</v>
      </c>
      <c r="H25" s="1742">
        <f>IF(G25="No Aplica","No Aplica",IF(OR(D5="423 - Subred Integrada de Servicios de Salud Centro Oriente E.S.E.   ",D5="424 - Subred Integrada de Servicios de Salud Sur Occidente E.S.E. ",D5="425 - Subred Integrada de Servicios de Salud Sur E.S.E. ",D5="426 - Subred Integrada de Servicios de Salud Norte E.S.E.  ",D5="429 - Instituto Distrital de Ciencia, Biotecnología e Innovación en Salud – IDCBIS",D5="269 - Agencia de Analítica de Datos SAS - AGATA",D5="311 - Terminal de Transporte S.A.  ",D5="317 - Corporación para el Desarrollo y la Productividad Bogotá Región - INVEST IN BOGOTÁ. ",D5="428 - Capital Salud. Entidad promotora de salud del régimen subsidiado S.A.S. - CAPITAL SALUD EPS-S S.A.S. ",D5="431 - ENEL Colombia S.A. E.S.P.",D5="515 - Corporación Maloka de Ciencia, Tecnología e Innovación – MALOKA",D5="431 - ENEL Colombia S.A. E.S.P.",D5="702 - Compañía de Distribución y Comercialización de Energía S.A. E.S.P. CODENSA S.A. E.S.P. ",D5="704 - Compañía Colombiana de Servicios de Valor Agregado y Telemático S.A. ESP - COLVATEL S.A E.S.P. ",D5="705 - Empresa Generadora de Energía S.A. E.S.P. - EMGESA S.A. E.S.P. ",D5="708 - Empresa de Telecomunicaciones de Bogotá S.A. E.S.P. ",D5="709 - Américas Business Process Services S.A. ",D5="710 - Grupo Energía Bogotá S.A. E.S.P. – GEB S.A. E.S.P. ",D5="712 - VANTI S.A. ESP ",D5="712 - VANTI S.A. ESP ",D5="718 - Transportadora de Gas Internacional S.A. E.S.P.– TGI S.A. E.S.P. ",D5="729 - SKYNET de Colombia S.A. E.S.P. "),$AB$24,$AB$23))</f>
        <v>0.78992946269416864</v>
      </c>
      <c r="I25" s="1742">
        <f>IF(G25="No Aplica","No Aplica",IF(OR(D5="423 - Subred Integrada de Servicios de Salud Centro Oriente E.S.E.   ",D5="424 - Subred Integrada de Servicios de Salud Sur Occidente E.S.E. ",D5="425 - Subred Integrada de Servicios de Salud Sur E.S.E. ",D5="426 - Subred Integrada de Servicios de Salud Norte E.S.E.  ",D5="429 - Instituto Distrital de Ciencia, Biotecnología e Innovación en Salud – IDCBIS",D5="269 - Agencia de Analítica de Datos SAS - AGATA",D5="311 - Terminal de Transporte S.A.  ",D5="317 - Corporación para el Desarrollo y la Productividad Bogotá Región - INVEST IN BOGOTÁ. ",D5="428 - Capital Salud. Entidad promotora de salud del régimen subsidiado S.A.S. - CAPITAL SALUD EPS-S S.A.S. ",D5="431 - ENEL Colombia S.A. E.S.P.",D5="515 - Corporación Maloka de Ciencia, Tecnología e Innovación – MALOKA",D5="431 - ENEL Colombia S.A. E.S.P.",D5="702 - Compañía de Distribución y Comercialización de Energía S.A. E.S.P. CODENSA S.A. E.S.P. ",D5="704 - Compañía Colombiana de Servicios de Valor Agregado y Telemático S.A. ESP - COLVATEL S.A E.S.P. ",D5="705 - Empresa Generadora de Energía S.A. E.S.P. - EMGESA S.A. E.S.P. ",D5="708 - Empresa de Telecomunicaciones de Bogotá S.A. E.S.P. ",D5="709 - Américas Business Process Services S.A. ",D5="710 - Grupo Energía Bogotá S.A. E.S.P. – GEB S.A. E.S.P. ",D5="712 - VANTI S.A. ESP ",D5="712 - VANTI S.A. ESP ",D5="718 - Transportadora de Gas Internacional S.A. E.S.P.– TGI S.A. E.S.P. ",D5="729 - SKYNET de Colombia S.A. E.S.P. "),$AC$24,$AC$23))</f>
        <v>0.79688818827863783</v>
      </c>
      <c r="J25" s="1725"/>
      <c r="K25" s="1774">
        <f>IFERROR(IF(D25="No Aplica","No Aplica",IF(G25="No Aplica","No Aplica",AVERAGE(H25:J26)*G25)),"")</f>
        <v>0.31736353019456132</v>
      </c>
      <c r="L25" s="1795" t="s">
        <v>1720</v>
      </c>
      <c r="N25" s="1388"/>
      <c r="AA25" s="1584"/>
    </row>
    <row r="26" spans="2:29" ht="31.9" customHeight="1" x14ac:dyDescent="0.35">
      <c r="B26" s="1731" t="s">
        <v>508</v>
      </c>
      <c r="C26" s="1729"/>
      <c r="D26" s="1764"/>
      <c r="E26" s="1841"/>
      <c r="F26" s="1844"/>
      <c r="G26" s="1833"/>
      <c r="H26" s="1743"/>
      <c r="I26" s="1743"/>
      <c r="J26" s="1726"/>
      <c r="K26" s="1775"/>
      <c r="L26" s="1796"/>
      <c r="N26" s="1387"/>
      <c r="AB26" s="955"/>
    </row>
    <row r="27" spans="2:29" ht="19.899999999999999" customHeight="1" x14ac:dyDescent="0.35">
      <c r="B27" s="1731"/>
      <c r="C27" s="1729"/>
      <c r="D27" s="1764"/>
      <c r="E27" s="1841"/>
      <c r="F27" s="1844"/>
      <c r="G27" s="1833"/>
      <c r="H27" s="1743"/>
      <c r="I27" s="1743"/>
      <c r="J27" s="1726"/>
      <c r="K27" s="1775"/>
      <c r="L27" s="1735" t="str">
        <f>IF(G25="No Aplica","No Aplica",IF(AND(AVERAGE(H25:I25)&gt;=75%,AVERAGE(H25:I25)&lt;=100%),"Favorable",IF(AND(AVERAGE(H25:I25)&gt;=70%,AVERAGE(H25:I25)&lt;75%),"Con Observaciones","Desfavorable")))</f>
        <v>Favorable</v>
      </c>
      <c r="N27" s="1387"/>
      <c r="AA27" s="294" t="s">
        <v>408</v>
      </c>
      <c r="AB27" s="955"/>
    </row>
    <row r="28" spans="2:29" ht="15.75" customHeight="1" x14ac:dyDescent="0.35">
      <c r="B28" s="1732"/>
      <c r="C28" s="1729"/>
      <c r="D28" s="1764"/>
      <c r="E28" s="1841"/>
      <c r="F28" s="1737"/>
      <c r="G28" s="1739"/>
      <c r="H28" s="1744"/>
      <c r="I28" s="1744"/>
      <c r="J28" s="1727"/>
      <c r="K28" s="1776"/>
      <c r="L28" s="1735"/>
      <c r="N28" s="1388"/>
      <c r="Z28" s="1584"/>
      <c r="AA28" s="279" t="s">
        <v>409</v>
      </c>
    </row>
    <row r="29" spans="2:29" ht="19.149999999999999" customHeight="1" x14ac:dyDescent="0.35">
      <c r="B29" s="1732"/>
      <c r="C29" s="1729"/>
      <c r="D29" s="1764"/>
      <c r="E29" s="1841"/>
      <c r="F29" s="1736" t="s">
        <v>1538</v>
      </c>
      <c r="G29" s="1738">
        <f>IF(VLOOKUP($D$5,TablaSujetos215[],3,FALSE)="PUBLICA con ing",VLOOKUP(F29,TablaProcesos516[],2,FALSE),IF(VLOOKUP($D$5,TablaSujetos215[],3,FALSE)="PUBLICA sin ing",VLOOKUP(F29,TablaProcesos516[],3,FALSE),IF(VLOOKUP($D$5,TablaSujetos215[],3,FALSE)="PUBLICA",VLOOKUP(F29,TablaProcesos516[],4,FALSE),IF(VLOOKUP($D$5,TablaSujetos215[],3,FALSE)="MIXTA&lt;50",VLOOKUP(F29,TablaProcesos516[],7,FALSE),IF(VLOOKUP($D$5,TablaSujetos215[],3,FALSE)="MIXTA&gt;50",VLOOKUP(F29,TablaProcesos516[],6,FALSE),IF(VLOOKUP($D$5,TablaSujetos215[],3,FALSE)="MIXTA&gt;50 sin ing",VLOOKUP(F29,TablaProcesos516[],5,FALSE),IF(VLOOKUP($D$5,TablaSujetos215[],3,FALSE)="CORPORACION",VLOOKUP(F29,TablaProcesos516[],5,FALSE),IF(VLOOKUP($D$5,TablaSujetos215[],1,FALSE)="100 - Concejo de Bogotá D.C.","No Aplica",VLOOKUP(F29,TablaProcesos516[],2,FALSE)))))))))</f>
        <v>0.6</v>
      </c>
      <c r="H29" s="1740">
        <f>IF(G29="No Aplica","No Aplica",IF(G29&gt;1%,'CALIFICACIÓN GASTO PÚBLICO'!C16))</f>
        <v>0.64360328463105687</v>
      </c>
      <c r="I29" s="1740">
        <f>IF(G29="No Aplica","No Aplica",IF(G29&gt;1%,'CALIFICACIÓN GASTO PÚBLICO'!C17))</f>
        <v>0.64836716083900015</v>
      </c>
      <c r="J29" s="1834">
        <f>IF(G29="No Aplica","No Aplica",IF(G29&gt;1%,'CALIFICACIÓN GASTO PÚBLICO'!C15))</f>
        <v>0.66146571308382851</v>
      </c>
      <c r="K29" s="1811">
        <f>IFERROR(IF(D25="No Aplica","No Aplica",IF(G29="No Aplica","No Aplica",AVERAGE(H29:J29)*G29)),"")</f>
        <v>0.39068723171077707</v>
      </c>
      <c r="L29" s="1104" t="s">
        <v>1613</v>
      </c>
      <c r="Z29" s="1584"/>
      <c r="AA29" s="294" t="s">
        <v>410</v>
      </c>
    </row>
    <row r="30" spans="2:29" ht="27.6" customHeight="1" x14ac:dyDescent="0.35">
      <c r="B30" s="1732"/>
      <c r="C30" s="1729"/>
      <c r="D30" s="1764"/>
      <c r="E30" s="1842"/>
      <c r="F30" s="1737"/>
      <c r="G30" s="1739"/>
      <c r="H30" s="1741"/>
      <c r="I30" s="1741"/>
      <c r="J30" s="1835"/>
      <c r="K30" s="1812"/>
      <c r="L30" s="1097" t="str">
        <f>IF(G29="No Aplica","No Aplica",IF(AND(AVERAGE(H29:J29)&gt;=75%,AVERAGE(H29:J29)&lt;=100%),"Favorable",IF(AND(AVERAGE(H29:J29)&gt;=70%,AVERAGE(H29:J29)&lt;75%),"Con Observaciones","Desfavorable")))</f>
        <v>Desfavorable</v>
      </c>
      <c r="Z30" s="1584"/>
      <c r="AA30" s="279" t="s">
        <v>411</v>
      </c>
    </row>
    <row r="31" spans="2:29" ht="35.450000000000003" customHeight="1" x14ac:dyDescent="0.35">
      <c r="B31" s="1733"/>
      <c r="C31" s="1729"/>
      <c r="D31" s="1764"/>
      <c r="E31" s="1779" t="s">
        <v>1561</v>
      </c>
      <c r="F31" s="1780"/>
      <c r="G31" s="1838">
        <f>IF(D25="No Aplica","No Aplica",SUM(G25:G30))</f>
        <v>1</v>
      </c>
      <c r="H31" s="1765">
        <f>IFERROR(IF($D$25="No Aplica","No Aplica",IF($G$25="No Aplica",($G$29*H29),IF($G$29="No Aplica",($G$25*H25),($G$25*H25)+($G$29*H29)))),"")</f>
        <v>0.70213375585630167</v>
      </c>
      <c r="I31" s="1765">
        <f>IFERROR(IF($D$25="No Aplica","No Aplica",IF($G$25="No Aplica",($G$29*I29),IF($G$29="No Aplica",($G$25*I25),($G$25*I25)+($G$29*I29)))),"")</f>
        <v>0.70777557181485529</v>
      </c>
      <c r="J31" s="1767">
        <f>IFERROR(IF(D25="No Aplica","No Aplica",IF($G$29="No Aplica","No Aplica",J29)),"")</f>
        <v>0.66146571308382851</v>
      </c>
      <c r="K31" s="1809">
        <f>IF(D25="No Aplica","No Aplica",SUM(K25:K30)*D25)</f>
        <v>0.28322030476213539</v>
      </c>
      <c r="L31" s="991" t="s">
        <v>1617</v>
      </c>
      <c r="AA31" s="279" t="s">
        <v>635</v>
      </c>
    </row>
    <row r="32" spans="2:29" ht="28.9" customHeight="1" thickBot="1" x14ac:dyDescent="0.4">
      <c r="B32" s="1734"/>
      <c r="C32" s="1729"/>
      <c r="D32" s="1764"/>
      <c r="E32" s="1836"/>
      <c r="F32" s="1837"/>
      <c r="G32" s="1784"/>
      <c r="H32" s="1766"/>
      <c r="I32" s="1766"/>
      <c r="J32" s="1768"/>
      <c r="K32" s="1810"/>
      <c r="L32" s="992" t="str">
        <f>IF(G31="No Aplica","No Aplica",IF(AND(AVERAGE(H31:J31)&gt;=75%,AVERAGE(H31:J31)&lt;=100%),"Favorable",IF(AND(AVERAGE(H31:J31)&gt;=65%,AVERAGE(H31:J31)&lt;75%),"Con Observaciones","Desfavorable")))</f>
        <v>Con Observaciones</v>
      </c>
      <c r="AA32" s="279" t="s">
        <v>120</v>
      </c>
      <c r="AB32" s="279"/>
    </row>
    <row r="33" spans="2:29" ht="35.25" customHeight="1" x14ac:dyDescent="0.35">
      <c r="B33" s="984"/>
      <c r="C33" s="1729"/>
      <c r="D33" s="1885" t="s">
        <v>1618</v>
      </c>
      <c r="E33" s="1885"/>
      <c r="F33" s="1886"/>
      <c r="G33" s="1889">
        <f>AVERAGE(G23,G31)</f>
        <v>1</v>
      </c>
      <c r="H33" s="1846">
        <f>AVERAGE(H23,H31)</f>
        <v>0.8010668779281509</v>
      </c>
      <c r="I33" s="1848">
        <f>IFERROR(IF(I23="No Aplica","No Aplica",IF(I31="No Aplica","No Aplica",I31)),"")</f>
        <v>0.70777557181485529</v>
      </c>
      <c r="J33" s="1807">
        <f>IFERROR(IF(J23="No Aplica","No Aplica",IF(J31="No Aplica","No Aplica",AVERAGE(J23,J31))),"")</f>
        <v>0.66146571308382851</v>
      </c>
      <c r="K33" s="1814">
        <f>IF(K31="No Aplica",K23,(IF(K23="No Aplica",K31,SUM(K31+K23))))</f>
        <v>0.50822030476213542</v>
      </c>
      <c r="L33" s="991" t="s">
        <v>1618</v>
      </c>
      <c r="M33" s="791"/>
      <c r="N33" s="1387"/>
      <c r="AA33" s="279" t="s">
        <v>405</v>
      </c>
      <c r="AB33" s="279"/>
      <c r="AC33" s="1691"/>
    </row>
    <row r="34" spans="2:29" ht="35.25" customHeight="1" thickBot="1" x14ac:dyDescent="0.4">
      <c r="B34" s="984"/>
      <c r="C34" s="1730"/>
      <c r="D34" s="1887"/>
      <c r="E34" s="1887"/>
      <c r="F34" s="1888"/>
      <c r="G34" s="1890"/>
      <c r="H34" s="1847"/>
      <c r="I34" s="1847"/>
      <c r="J34" s="1807"/>
      <c r="K34" s="1815"/>
      <c r="L34" s="992" t="str">
        <f>IF(L24="No Razonable","No Razonable",IF(OR(L24="Abstención",L32="Desfavorable"),"No Razonable",IF(G33="No Aplica","No Aplica",IF(AND(AVERAGE(H33:J33)&gt;=75%,AVERAGE(H33:J33)&lt;=100%),"Razonable",IF(AND(AVERAGE(H33:J33)&gt;=65%,AVERAGE(H33:J33)&lt;75%),"Con Salvedades","No Razonable")))))</f>
        <v>Con Salvedades</v>
      </c>
      <c r="M34" s="791"/>
      <c r="N34" s="1387"/>
      <c r="Y34" s="1584" t="str">
        <f>IF(H32="No Aplica","No Aplica",IF(OR(E12="423 - Subred Integrada de Servicios de Salud Centro Oriente E.S.E.   ",E12="424 - Subred Integrada de Servicios de Salud Sur Occidente E.S.E. ",E12="425 - Subred Integrada de Servicios de Salud Sur E.S.E. ",E12="426 - Subred Integrada de Servicios de Salud Norte E.S.E.  ",E12="429 - Instituto Distrital de Ciencia, Biotecnología e Innovación en Salud – IDCBIS"),AA24,AA23))</f>
        <v>PLANES Y PROYECTOS</v>
      </c>
      <c r="AA34" s="294" t="s">
        <v>406</v>
      </c>
      <c r="AB34" s="294"/>
    </row>
    <row r="35" spans="2:29" ht="24.75" customHeight="1" thickBot="1" x14ac:dyDescent="0.4">
      <c r="B35" s="1745" t="s">
        <v>1466</v>
      </c>
      <c r="C35" s="1748" t="s">
        <v>1466</v>
      </c>
      <c r="D35" s="1753">
        <f>SUM(D12:D32)</f>
        <v>1</v>
      </c>
      <c r="E35" s="1756" t="s">
        <v>1467</v>
      </c>
      <c r="F35" s="1756"/>
      <c r="G35" s="1756"/>
      <c r="H35" s="1582">
        <f>IFERROR(IF(D25="No Aplica",IF(D19="No Aplica",H18,((D12*H18)+(D19*H23))/(D12+D19)),IF(D19="No Aplica",((D12*H18)+(D25*H31))/(D12+D25),((D12*H18)+(D19*H23)+(D25*H31))/(D12+D19+D25))),"")</f>
        <v>0.82685350234252075</v>
      </c>
      <c r="I35" s="1582">
        <f>IF(I18="No Aplica",IF(G31="No Aplica","No Aplica",(D25*I31)/D25),IF(G31="No Aplica",(D12*I18)/D12,((D12*I18)+(D25*I31))/(D12+D25)))</f>
        <v>0.74303586052347825</v>
      </c>
      <c r="J35" s="1582">
        <f>IF(G31="No Aplica","No Aplica",(D25*J31)/D25)</f>
        <v>0.6614657130838284</v>
      </c>
      <c r="K35" s="1813">
        <f>SUM(K18+K33)</f>
        <v>0.82855363809546878</v>
      </c>
      <c r="L35" s="404"/>
      <c r="AA35" s="294" t="s">
        <v>412</v>
      </c>
      <c r="AB35" s="1688"/>
    </row>
    <row r="36" spans="2:29" ht="28.15" customHeight="1" thickBot="1" x14ac:dyDescent="0.4">
      <c r="B36" s="1746"/>
      <c r="C36" s="1749"/>
      <c r="D36" s="1754"/>
      <c r="E36" s="1756" t="s">
        <v>1468</v>
      </c>
      <c r="F36" s="1756"/>
      <c r="G36" s="1756"/>
      <c r="H36" s="1583" t="str">
        <f>IF(H35="","",(IF(H35&gt;=75%,"EFICAZ","INEFICAZ")))</f>
        <v>EFICAZ</v>
      </c>
      <c r="I36" s="1583" t="str">
        <f>IF(I35="No Aplica","No Aplica",(IF(I35&gt;=75%,"EFICIENTE","INEFICIENTE")))</f>
        <v>INEFICIENTE</v>
      </c>
      <c r="J36" s="1583" t="str">
        <f>IF(J35="No Aplica","No Aplica",(IF(J35&gt;=75%,"ECONOMICA","ANTIECONOMICA")))</f>
        <v>ANTIECONOMICA</v>
      </c>
      <c r="K36" s="1813"/>
      <c r="L36" s="1677"/>
      <c r="N36" s="299"/>
      <c r="O36" s="299"/>
      <c r="P36" s="299"/>
      <c r="Q36" s="299"/>
      <c r="R36" s="299"/>
      <c r="S36" s="299"/>
      <c r="T36" s="299"/>
      <c r="U36" s="299"/>
      <c r="V36" s="299"/>
      <c r="W36" s="299"/>
      <c r="X36" s="299"/>
      <c r="AA36" s="279" t="s">
        <v>415</v>
      </c>
      <c r="AB36" s="279"/>
    </row>
    <row r="37" spans="2:29" ht="46.5" customHeight="1" thickBot="1" x14ac:dyDescent="0.4">
      <c r="B37" s="1747"/>
      <c r="C37" s="1750"/>
      <c r="D37" s="1755"/>
      <c r="E37" s="1757" t="str">
        <f>IF(K35="","",IF(VLOOKUP($D$5,TablaSujetos215[],3,FALSE)="MIXTA&lt;50","CONCEPTO DE GESTIÓN Y RENTABILIDAD FINANCIERA",IF(VLOOKUP($D$5,TablaSujetos215[],3,FALSE)="CORPORACION","CONCEPTO DE GESTIÓN DEL GASTO DE LOS RECURSOS PÚBLICOS","FENECIMIENTO")))</f>
        <v>FENECIMIENTO</v>
      </c>
      <c r="F37" s="1757"/>
      <c r="G37" s="1757"/>
      <c r="H37" s="1804" t="str">
        <f>IF(OR(E$37="",K35=""),"",IF($E$37="CONCEPTO DE GESTIÓN Y RENTABILIDAD FINANCIERA",IF($K$35&lt;75%,"INEFECTIVO","EFECTIVO"),IF($K$35&lt;75%,"NO SE FENECE","SE FENECE")))</f>
        <v>SE FENECE</v>
      </c>
      <c r="I37" s="1805"/>
      <c r="J37" s="1805"/>
      <c r="K37" s="1806"/>
      <c r="L37" s="1677"/>
      <c r="N37" s="299"/>
      <c r="O37" s="299"/>
      <c r="P37" s="299"/>
      <c r="Q37" s="299"/>
      <c r="R37" s="299"/>
      <c r="S37" s="299"/>
      <c r="T37" s="299"/>
      <c r="U37" s="299"/>
      <c r="V37" s="299"/>
      <c r="W37" s="299"/>
      <c r="X37" s="299"/>
      <c r="AA37" s="279" t="s">
        <v>641</v>
      </c>
      <c r="AB37" s="279"/>
    </row>
    <row r="38" spans="2:29" ht="21.75" customHeight="1" thickBot="1" x14ac:dyDescent="0.4">
      <c r="B38" s="792"/>
      <c r="C38" s="793"/>
      <c r="D38" s="794"/>
      <c r="E38" s="795"/>
      <c r="F38" s="795"/>
      <c r="G38" s="795"/>
      <c r="H38" s="796"/>
      <c r="I38" s="796"/>
      <c r="J38" s="796"/>
      <c r="K38"/>
      <c r="L38"/>
      <c r="AA38" s="294" t="s">
        <v>422</v>
      </c>
      <c r="AB38" s="294"/>
    </row>
    <row r="39" spans="2:29" ht="33" customHeight="1" x14ac:dyDescent="0.35">
      <c r="C39" s="1707" t="s">
        <v>1469</v>
      </c>
      <c r="D39" s="1708"/>
      <c r="E39" s="1719" t="s">
        <v>1470</v>
      </c>
      <c r="F39" s="1719"/>
      <c r="G39" s="1720"/>
      <c r="H39" s="1579">
        <v>0.74</v>
      </c>
      <c r="I39" s="797"/>
      <c r="J39" s="798"/>
      <c r="K39"/>
      <c r="L39" s="1692"/>
      <c r="AA39" s="279" t="s">
        <v>423</v>
      </c>
      <c r="AB39" s="279"/>
    </row>
    <row r="40" spans="2:29" ht="33" customHeight="1" thickBot="1" x14ac:dyDescent="0.4">
      <c r="B40" s="1014"/>
      <c r="C40" s="1709"/>
      <c r="D40" s="1710"/>
      <c r="E40" s="1721"/>
      <c r="F40" s="1721"/>
      <c r="G40" s="1722"/>
      <c r="H40" s="800" t="str">
        <f>IF(H39="","",_xlfn.IFNA(VLOOKUP(H39,Calificacion_SCIC,4),""))</f>
        <v>CON DEFICIENCIAS</v>
      </c>
      <c r="AA40" s="294" t="s">
        <v>424</v>
      </c>
      <c r="AB40" s="294"/>
    </row>
    <row r="41" spans="2:29" ht="33" customHeight="1" x14ac:dyDescent="0.35">
      <c r="B41" s="801"/>
      <c r="C41" s="1707" t="s">
        <v>1471</v>
      </c>
      <c r="D41" s="1708"/>
      <c r="E41" s="1723" t="str">
        <f>IF(D5="262 - Empresa de Transporte del Tercer Milenio - Transmilenio S.A. ","CONCEPTO DE CALIDAD Y EFICIENCIA Transmilenio S.A.","CONCEPTO DE CALIDAD Y EFICIENCIA")</f>
        <v>CONCEPTO DE CALIDAD Y EFICIENCIA Transmilenio S.A.</v>
      </c>
      <c r="F41" s="1719"/>
      <c r="G41" s="1720"/>
      <c r="H41" s="1579">
        <v>0.74</v>
      </c>
      <c r="I41" s="1351"/>
      <c r="J41" s="1352"/>
      <c r="K41" s="1803" t="str">
        <f>IF(D5="206 - Fondo de Prestaciones Económicas, Cesantías y Pensiones – FONCEP ","CONTROL INTERNO CONTABLE: CONCEPTO DE CALIDAD Y EFICIENCIA Fondo de Pensiones Públicas de Bogotá – FPPB",IF(D5="262 - Empresa de Transporte del Tercer Milenio - Transmilenio S.A. ","CONTROL INTERNO CONTABLE: CONCEPTO DE CALIDAD Y EFICIENCIA Sistema Integrado de Transporte Público - SITP",""))</f>
        <v>CONTROL INTERNO CONTABLE: CONCEPTO DE CALIDAD Y EFICIENCIA Sistema Integrado de Transporte Público - SITP</v>
      </c>
      <c r="L41" s="1803"/>
      <c r="AA41" s="279" t="s">
        <v>425</v>
      </c>
      <c r="AB41" s="279"/>
    </row>
    <row r="42" spans="2:29" ht="33" customHeight="1" thickBot="1" x14ac:dyDescent="0.4">
      <c r="B42" s="801"/>
      <c r="C42" s="1709"/>
      <c r="D42" s="1710"/>
      <c r="E42" s="1724"/>
      <c r="F42" s="1721"/>
      <c r="G42" s="1722"/>
      <c r="H42" s="800" t="str">
        <f>IF(H41="","",_xlfn.IFNA(VLOOKUP(H41,Calificacion_SCIC,4),""))</f>
        <v>CON DEFICIENCIAS</v>
      </c>
      <c r="K42" s="1803"/>
      <c r="L42" s="1803"/>
      <c r="AA42" s="294" t="s">
        <v>426</v>
      </c>
      <c r="AB42" s="294"/>
    </row>
    <row r="43" spans="2:29" ht="33" customHeight="1" x14ac:dyDescent="0.35">
      <c r="B43" s="1013"/>
      <c r="C43" s="1707" t="s">
        <v>1472</v>
      </c>
      <c r="D43" s="1708"/>
      <c r="E43" s="1723" t="s">
        <v>1637</v>
      </c>
      <c r="F43" s="1719"/>
      <c r="G43" s="1720"/>
      <c r="H43" s="1580">
        <v>0.75</v>
      </c>
      <c r="I43" s="1580">
        <v>0.75</v>
      </c>
      <c r="J43" s="802"/>
      <c r="K43" s="1349"/>
      <c r="L43" s="1348" t="str">
        <f>IF(K43="","",IF(AND(AVERAGE(K43)&gt;=75%,AVERAGE(K43)&lt;=100%),"EFICIENTE",IF(AND(AVERAGE(K43)&gt;=50%,AVERAGE(K43)&lt;75%),"CON DEFICIENCIAS","INEFICIENTE")))</f>
        <v/>
      </c>
      <c r="AA43" s="279" t="s">
        <v>427</v>
      </c>
      <c r="AB43" s="279"/>
    </row>
    <row r="44" spans="2:29" ht="33" customHeight="1" thickBot="1" x14ac:dyDescent="0.4">
      <c r="B44" s="1014"/>
      <c r="C44" s="1709"/>
      <c r="D44" s="1710"/>
      <c r="E44" s="1724"/>
      <c r="F44" s="1721"/>
      <c r="G44" s="1722"/>
      <c r="H44" s="800" t="str">
        <f>IF(H43="","",(IF(H43&gt;=75%,"EFICAZ","INEFICAZ")))</f>
        <v>EFICAZ</v>
      </c>
      <c r="I44" s="800" t="str">
        <f>IF(I43="","",(IF(I43&gt;=75%,"EFICIENTE","INEFICIENTE")))</f>
        <v>EFICIENTE</v>
      </c>
      <c r="J44" s="802"/>
      <c r="AA44" s="294" t="s">
        <v>428</v>
      </c>
      <c r="AB44" s="294"/>
    </row>
    <row r="45" spans="2:29" ht="15" customHeight="1" x14ac:dyDescent="0.35">
      <c r="B45" s="803"/>
      <c r="C45" s="803"/>
      <c r="D45" s="803"/>
      <c r="E45" s="803"/>
      <c r="F45" s="804"/>
      <c r="G45" s="804"/>
      <c r="H45" s="862"/>
      <c r="AA45" s="279" t="s">
        <v>429</v>
      </c>
      <c r="AB45" s="279"/>
    </row>
    <row r="46" spans="2:29" ht="15" customHeight="1" x14ac:dyDescent="0.35">
      <c r="B46" s="803"/>
      <c r="C46" s="803"/>
      <c r="D46" s="803"/>
      <c r="E46" s="803"/>
      <c r="F46" s="862"/>
      <c r="G46" s="862"/>
      <c r="H46" s="862"/>
      <c r="I46" s="862"/>
      <c r="J46" s="862"/>
      <c r="K46" s="802"/>
      <c r="L46" s="799"/>
      <c r="AA46" s="294" t="s">
        <v>430</v>
      </c>
      <c r="AB46" s="294"/>
    </row>
    <row r="47" spans="2:29" s="1100" customFormat="1" ht="15" customHeight="1" x14ac:dyDescent="0.35">
      <c r="B47" s="803"/>
      <c r="C47" s="803"/>
      <c r="D47" s="803"/>
      <c r="E47" s="803"/>
      <c r="F47" s="862"/>
      <c r="G47" s="862"/>
      <c r="H47" s="862"/>
      <c r="I47" s="862"/>
      <c r="J47" s="862"/>
      <c r="K47" s="862"/>
      <c r="L47" s="1105"/>
      <c r="N47" s="1364"/>
      <c r="O47" s="1364"/>
      <c r="P47" s="1364"/>
      <c r="Q47" s="1364"/>
      <c r="R47" s="1364"/>
      <c r="S47" s="1364"/>
      <c r="T47" s="1364"/>
      <c r="U47" s="1364"/>
      <c r="V47" s="1364"/>
      <c r="W47" s="1364"/>
      <c r="X47" s="1364"/>
      <c r="AA47" s="279" t="s">
        <v>431</v>
      </c>
      <c r="AB47" s="279"/>
    </row>
    <row r="48" spans="2:29" s="1100" customFormat="1" ht="15" customHeight="1" x14ac:dyDescent="0.35">
      <c r="B48" s="51"/>
      <c r="C48" s="51"/>
      <c r="D48" s="1711" t="s">
        <v>1744</v>
      </c>
      <c r="E48" s="1711"/>
      <c r="F48" s="1711"/>
      <c r="G48" s="1711" t="s">
        <v>1745</v>
      </c>
      <c r="H48" s="1711"/>
      <c r="I48" s="1711"/>
      <c r="J48" s="1711"/>
      <c r="K48" s="1711"/>
      <c r="L48" s="1106"/>
      <c r="N48" s="1364"/>
      <c r="O48" s="1364"/>
      <c r="P48" s="1364"/>
      <c r="Q48" s="1364"/>
      <c r="R48" s="1364"/>
      <c r="S48" s="1364"/>
      <c r="T48" s="1364"/>
      <c r="U48" s="1364"/>
      <c r="V48" s="1364"/>
      <c r="W48" s="1364"/>
      <c r="X48" s="1364"/>
    </row>
    <row r="49" spans="3:24" s="1100" customFormat="1" ht="46.15" customHeight="1" x14ac:dyDescent="0.35">
      <c r="C49" s="1801" t="s">
        <v>667</v>
      </c>
      <c r="D49" s="1713"/>
      <c r="E49" s="1714"/>
      <c r="F49" s="1715"/>
      <c r="G49" s="1712"/>
      <c r="H49" s="1712"/>
      <c r="I49" s="1712"/>
      <c r="J49" s="1712"/>
      <c r="K49" s="1712"/>
      <c r="L49" s="862"/>
      <c r="N49" s="1364"/>
      <c r="O49" s="1364"/>
      <c r="P49" s="1364"/>
      <c r="Q49" s="1364"/>
      <c r="R49" s="1364"/>
      <c r="S49" s="1364"/>
      <c r="T49" s="1364"/>
      <c r="U49" s="1364"/>
      <c r="V49" s="1364"/>
      <c r="W49" s="1364"/>
      <c r="X49" s="1364"/>
    </row>
    <row r="50" spans="3:24" s="1100" customFormat="1" ht="46.15" customHeight="1" x14ac:dyDescent="0.35">
      <c r="C50" s="1801"/>
      <c r="D50" s="1713"/>
      <c r="E50" s="1714"/>
      <c r="F50" s="1715"/>
      <c r="G50" s="1712"/>
      <c r="H50" s="1712"/>
      <c r="I50" s="1712"/>
      <c r="J50" s="1712"/>
      <c r="K50" s="1712"/>
      <c r="L50" s="862"/>
      <c r="N50" s="1364"/>
      <c r="O50" s="1364"/>
      <c r="P50" s="1364"/>
      <c r="Q50" s="1364"/>
      <c r="R50" s="1364"/>
      <c r="S50" s="1364"/>
      <c r="T50" s="1364"/>
      <c r="U50" s="1364"/>
      <c r="V50" s="1364"/>
      <c r="W50" s="1364"/>
      <c r="X50" s="1364"/>
    </row>
    <row r="51" spans="3:24" s="1100" customFormat="1" ht="46.15" customHeight="1" x14ac:dyDescent="0.35">
      <c r="C51" s="1801"/>
      <c r="D51" s="1713"/>
      <c r="E51" s="1714"/>
      <c r="F51" s="1715"/>
      <c r="G51" s="1712"/>
      <c r="H51" s="1712"/>
      <c r="I51" s="1712"/>
      <c r="J51" s="1712"/>
      <c r="K51" s="1712"/>
      <c r="L51" s="862"/>
      <c r="N51" s="1364"/>
      <c r="O51" s="1364"/>
      <c r="P51" s="1364"/>
      <c r="Q51" s="1364"/>
      <c r="R51" s="1364"/>
      <c r="S51" s="1364"/>
      <c r="T51" s="1364"/>
      <c r="U51" s="1364"/>
      <c r="V51" s="1364"/>
      <c r="W51" s="1364"/>
      <c r="X51" s="1364"/>
    </row>
    <row r="52" spans="3:24" s="1100" customFormat="1" ht="46.15" customHeight="1" x14ac:dyDescent="0.35">
      <c r="C52" s="1801"/>
      <c r="D52" s="1713"/>
      <c r="E52" s="1714"/>
      <c r="F52" s="1715"/>
      <c r="G52" s="1712"/>
      <c r="H52" s="1712"/>
      <c r="I52" s="1712"/>
      <c r="J52" s="1712"/>
      <c r="K52" s="1712"/>
      <c r="L52" s="862"/>
      <c r="N52" s="1364"/>
      <c r="O52" s="1364"/>
      <c r="P52" s="1364"/>
      <c r="Q52" s="1364"/>
      <c r="R52" s="1364"/>
      <c r="S52" s="1364"/>
      <c r="T52" s="1364"/>
      <c r="U52" s="1364"/>
      <c r="V52" s="1364"/>
      <c r="W52" s="1364"/>
      <c r="X52" s="1364"/>
    </row>
    <row r="53" spans="3:24" s="1100" customFormat="1" ht="46.15" customHeight="1" x14ac:dyDescent="0.35">
      <c r="C53" s="1801"/>
      <c r="D53" s="1713"/>
      <c r="E53" s="1714"/>
      <c r="F53" s="1715"/>
      <c r="G53" s="1712"/>
      <c r="H53" s="1712"/>
      <c r="I53" s="1712"/>
      <c r="J53" s="1712"/>
      <c r="K53" s="1712"/>
      <c r="L53" s="862"/>
      <c r="N53" s="1364"/>
      <c r="O53" s="1364"/>
      <c r="P53" s="1364"/>
      <c r="Q53" s="1364"/>
      <c r="R53" s="1364"/>
      <c r="S53" s="1364"/>
      <c r="T53" s="1364"/>
      <c r="U53" s="1364"/>
      <c r="V53" s="1364"/>
      <c r="W53" s="1364"/>
      <c r="X53" s="1364"/>
    </row>
    <row r="54" spans="3:24" s="1100" customFormat="1" ht="46.15" customHeight="1" x14ac:dyDescent="0.35">
      <c r="C54" s="1801"/>
      <c r="D54" s="1713"/>
      <c r="E54" s="1714"/>
      <c r="F54" s="1715"/>
      <c r="G54" s="1712"/>
      <c r="H54" s="1712"/>
      <c r="I54" s="1712"/>
      <c r="J54" s="1712"/>
      <c r="K54" s="1712"/>
      <c r="L54" s="862"/>
      <c r="N54" s="1364"/>
      <c r="O54" s="1364"/>
      <c r="P54" s="1364"/>
      <c r="Q54" s="1364"/>
      <c r="R54" s="1364"/>
      <c r="S54" s="1364"/>
      <c r="T54" s="1364"/>
      <c r="U54" s="1364"/>
      <c r="V54" s="1364"/>
      <c r="W54" s="1364"/>
      <c r="X54" s="1364"/>
    </row>
    <row r="55" spans="3:24" s="1100" customFormat="1" ht="46.15" customHeight="1" x14ac:dyDescent="0.35">
      <c r="C55" s="1801"/>
      <c r="D55" s="1713"/>
      <c r="E55" s="1714"/>
      <c r="F55" s="1715"/>
      <c r="G55" s="1712"/>
      <c r="H55" s="1712"/>
      <c r="I55" s="1712"/>
      <c r="J55" s="1712"/>
      <c r="K55" s="1712"/>
      <c r="L55" s="862"/>
      <c r="N55" s="1364"/>
      <c r="O55" s="1364"/>
      <c r="P55" s="1364"/>
      <c r="Q55" s="1364"/>
      <c r="R55" s="1364"/>
      <c r="S55" s="1364"/>
      <c r="T55" s="1364"/>
      <c r="U55" s="1364"/>
      <c r="V55" s="1364"/>
      <c r="W55" s="1364"/>
      <c r="X55" s="1364"/>
    </row>
    <row r="56" spans="3:24" s="1100" customFormat="1" ht="46.15" customHeight="1" x14ac:dyDescent="0.35">
      <c r="C56" s="1801"/>
      <c r="D56" s="1713"/>
      <c r="E56" s="1714"/>
      <c r="F56" s="1715"/>
      <c r="G56" s="1712"/>
      <c r="H56" s="1712"/>
      <c r="I56" s="1712"/>
      <c r="J56" s="1712"/>
      <c r="K56" s="1712"/>
      <c r="L56" s="862"/>
      <c r="N56" s="1364"/>
      <c r="O56" s="1364"/>
      <c r="P56" s="1364"/>
      <c r="Q56" s="1364"/>
      <c r="R56" s="1364"/>
      <c r="S56" s="1364"/>
      <c r="T56" s="1364"/>
      <c r="U56" s="1364"/>
      <c r="V56" s="1364"/>
      <c r="W56" s="1364"/>
      <c r="X56" s="1364"/>
    </row>
    <row r="57" spans="3:24" s="1100" customFormat="1" ht="46.15" customHeight="1" x14ac:dyDescent="0.35">
      <c r="C57" s="1801"/>
      <c r="D57" s="1713"/>
      <c r="E57" s="1714"/>
      <c r="F57" s="1715"/>
      <c r="G57" s="1712"/>
      <c r="H57" s="1712"/>
      <c r="I57" s="1712"/>
      <c r="J57" s="1712"/>
      <c r="K57" s="1712"/>
      <c r="L57" s="862"/>
      <c r="N57" s="1364"/>
      <c r="O57" s="1364"/>
      <c r="P57" s="1364"/>
      <c r="Q57" s="1364"/>
      <c r="R57" s="1364"/>
      <c r="S57" s="1364"/>
      <c r="T57" s="1364"/>
      <c r="U57" s="1364"/>
      <c r="V57" s="1364"/>
      <c r="W57" s="1364"/>
      <c r="X57" s="1364"/>
    </row>
    <row r="58" spans="3:24" s="1100" customFormat="1" ht="46.15" customHeight="1" x14ac:dyDescent="0.35">
      <c r="C58" s="1801"/>
      <c r="D58" s="1713"/>
      <c r="E58" s="1714"/>
      <c r="F58" s="1715"/>
      <c r="G58" s="1712"/>
      <c r="H58" s="1712"/>
      <c r="I58" s="1712"/>
      <c r="J58" s="1712"/>
      <c r="K58" s="1712"/>
      <c r="L58" s="862"/>
      <c r="N58" s="1364"/>
      <c r="O58" s="1364"/>
      <c r="P58" s="1364"/>
      <c r="Q58" s="1364"/>
      <c r="R58" s="1364"/>
      <c r="S58" s="1364"/>
      <c r="T58" s="1364"/>
      <c r="U58" s="1364"/>
      <c r="V58" s="1364"/>
      <c r="W58" s="1364"/>
      <c r="X58" s="1364"/>
    </row>
    <row r="59" spans="3:24" s="1100" customFormat="1" ht="46.15" customHeight="1" x14ac:dyDescent="0.35">
      <c r="C59" s="1801"/>
      <c r="D59" s="1713"/>
      <c r="E59" s="1714"/>
      <c r="F59" s="1715"/>
      <c r="G59" s="1712"/>
      <c r="H59" s="1712"/>
      <c r="I59" s="1712"/>
      <c r="J59" s="1712"/>
      <c r="K59" s="1712"/>
      <c r="L59" s="862"/>
      <c r="N59" s="1364"/>
      <c r="O59" s="1364"/>
      <c r="P59" s="1364"/>
      <c r="Q59" s="1364"/>
      <c r="R59" s="1364"/>
      <c r="S59" s="1364"/>
      <c r="T59" s="1364"/>
      <c r="U59" s="1364"/>
      <c r="V59" s="1364"/>
      <c r="W59" s="1364"/>
      <c r="X59" s="1364"/>
    </row>
    <row r="60" spans="3:24" s="1100" customFormat="1" ht="46.15" customHeight="1" x14ac:dyDescent="0.35">
      <c r="C60" s="1801"/>
      <c r="D60" s="1713"/>
      <c r="E60" s="1714"/>
      <c r="F60" s="1715"/>
      <c r="G60" s="1712"/>
      <c r="H60" s="1712"/>
      <c r="I60" s="1712"/>
      <c r="J60" s="1712"/>
      <c r="K60" s="1712"/>
      <c r="L60" s="862"/>
      <c r="N60" s="1364"/>
      <c r="O60" s="1364"/>
      <c r="P60" s="1364"/>
      <c r="Q60" s="1364"/>
      <c r="R60" s="1364"/>
      <c r="S60" s="1364"/>
      <c r="T60" s="1364"/>
      <c r="U60" s="1364"/>
      <c r="V60" s="1364"/>
      <c r="W60" s="1364"/>
      <c r="X60" s="1364"/>
    </row>
    <row r="61" spans="3:24" s="1100" customFormat="1" ht="46.15" customHeight="1" x14ac:dyDescent="0.35">
      <c r="C61" s="1801"/>
      <c r="D61" s="1713"/>
      <c r="E61" s="1714"/>
      <c r="F61" s="1715"/>
      <c r="G61" s="1712"/>
      <c r="H61" s="1712"/>
      <c r="I61" s="1712"/>
      <c r="J61" s="1712"/>
      <c r="K61" s="1712"/>
      <c r="L61" s="862"/>
      <c r="N61" s="1364"/>
      <c r="O61" s="1364"/>
      <c r="P61" s="1364"/>
      <c r="Q61" s="1364"/>
      <c r="R61" s="1364"/>
      <c r="S61" s="1364"/>
      <c r="T61" s="1364"/>
      <c r="U61" s="1364"/>
      <c r="V61" s="1364"/>
      <c r="W61" s="1364"/>
      <c r="X61" s="1364"/>
    </row>
    <row r="62" spans="3:24" s="1100" customFormat="1" ht="46.15" customHeight="1" x14ac:dyDescent="0.35">
      <c r="C62" s="1801"/>
      <c r="D62" s="1713"/>
      <c r="E62" s="1714"/>
      <c r="F62" s="1715"/>
      <c r="G62" s="1712"/>
      <c r="H62" s="1712"/>
      <c r="I62" s="1712"/>
      <c r="J62" s="1712"/>
      <c r="K62" s="1712"/>
      <c r="L62" s="862"/>
      <c r="N62" s="1364"/>
      <c r="O62" s="1364"/>
      <c r="P62" s="1364"/>
      <c r="Q62" s="1364"/>
      <c r="R62" s="1364"/>
      <c r="S62" s="1364"/>
      <c r="T62" s="1364"/>
      <c r="U62" s="1364"/>
      <c r="V62" s="1364"/>
      <c r="W62" s="1364"/>
      <c r="X62" s="1364"/>
    </row>
    <row r="63" spans="3:24" s="1100" customFormat="1" ht="46.15" customHeight="1" x14ac:dyDescent="0.35">
      <c r="C63" s="1801"/>
      <c r="D63" s="1713"/>
      <c r="E63" s="1714"/>
      <c r="F63" s="1715"/>
      <c r="G63" s="1712"/>
      <c r="H63" s="1712"/>
      <c r="I63" s="1712"/>
      <c r="J63" s="1712"/>
      <c r="K63" s="1712"/>
      <c r="L63" s="1096"/>
      <c r="N63" s="1364"/>
      <c r="O63" s="1364"/>
      <c r="P63" s="1364"/>
      <c r="Q63" s="1364"/>
      <c r="R63" s="1364"/>
      <c r="S63" s="1364"/>
      <c r="T63" s="1364"/>
      <c r="U63" s="1364"/>
      <c r="V63" s="1364"/>
      <c r="W63" s="1364"/>
      <c r="X63" s="1364"/>
    </row>
    <row r="64" spans="3:24" s="1100" customFormat="1" ht="46.15" customHeight="1" x14ac:dyDescent="0.35">
      <c r="C64" s="1801"/>
      <c r="D64" s="1713"/>
      <c r="E64" s="1714"/>
      <c r="F64" s="1715"/>
      <c r="G64" s="1712"/>
      <c r="H64" s="1712"/>
      <c r="I64" s="1712"/>
      <c r="J64" s="1712"/>
      <c r="K64" s="1712"/>
      <c r="L64" s="1096"/>
      <c r="N64" s="1364"/>
      <c r="O64" s="1364"/>
      <c r="P64" s="1364"/>
      <c r="Q64" s="1364"/>
      <c r="R64" s="1364"/>
      <c r="S64" s="1364"/>
      <c r="T64" s="1364"/>
      <c r="U64" s="1364"/>
      <c r="V64" s="1364"/>
      <c r="W64" s="1364"/>
      <c r="X64" s="1364"/>
    </row>
    <row r="65" spans="2:24" s="1100" customFormat="1" ht="46.15" customHeight="1" x14ac:dyDescent="0.35">
      <c r="C65" s="1801"/>
      <c r="D65" s="1713"/>
      <c r="E65" s="1714"/>
      <c r="F65" s="1715"/>
      <c r="G65" s="1712"/>
      <c r="H65" s="1712"/>
      <c r="I65" s="1712"/>
      <c r="J65" s="1712"/>
      <c r="K65" s="1712"/>
      <c r="L65" s="986"/>
      <c r="N65" s="1364"/>
      <c r="O65" s="1364"/>
      <c r="P65" s="1364"/>
      <c r="Q65" s="1364"/>
      <c r="R65" s="1364"/>
      <c r="S65" s="1364"/>
      <c r="T65" s="1364"/>
      <c r="U65" s="1364"/>
      <c r="V65" s="1364"/>
      <c r="W65" s="1364"/>
      <c r="X65" s="1364"/>
    </row>
    <row r="66" spans="2:24" s="1100" customFormat="1" ht="46.15" customHeight="1" x14ac:dyDescent="0.35">
      <c r="C66" s="1801"/>
      <c r="D66" s="1713"/>
      <c r="E66" s="1714"/>
      <c r="F66" s="1715"/>
      <c r="G66" s="1712"/>
      <c r="H66" s="1712"/>
      <c r="I66" s="1712"/>
      <c r="J66" s="1712"/>
      <c r="K66" s="1712"/>
      <c r="L66" s="1096"/>
      <c r="N66" s="1364"/>
      <c r="O66" s="1364"/>
      <c r="P66" s="1364"/>
      <c r="Q66" s="1364"/>
      <c r="R66" s="1364"/>
      <c r="S66" s="1364"/>
      <c r="T66" s="1364"/>
      <c r="U66" s="1364"/>
      <c r="V66" s="1364"/>
      <c r="W66" s="1364"/>
      <c r="X66" s="1364"/>
    </row>
    <row r="67" spans="2:24" s="1100" customFormat="1" ht="46.15" customHeight="1" x14ac:dyDescent="0.35">
      <c r="C67" s="1801"/>
      <c r="D67" s="1713"/>
      <c r="E67" s="1714"/>
      <c r="F67" s="1715"/>
      <c r="G67" s="1712"/>
      <c r="H67" s="1712"/>
      <c r="I67" s="1712"/>
      <c r="J67" s="1712"/>
      <c r="K67" s="1712"/>
      <c r="L67" s="1096"/>
      <c r="N67" s="1364"/>
      <c r="O67" s="1364"/>
      <c r="P67" s="1364"/>
      <c r="Q67" s="1364"/>
      <c r="R67" s="1364"/>
      <c r="S67" s="1364"/>
      <c r="T67" s="1364"/>
      <c r="U67" s="1364"/>
      <c r="V67" s="1364"/>
      <c r="W67" s="1364"/>
      <c r="X67" s="1364"/>
    </row>
    <row r="68" spans="2:24" s="1100" customFormat="1" ht="46.15" customHeight="1" x14ac:dyDescent="0.35">
      <c r="C68" s="1801" t="s">
        <v>1277</v>
      </c>
      <c r="D68" s="1713"/>
      <c r="E68" s="1714"/>
      <c r="F68" s="1715"/>
      <c r="G68" s="1712"/>
      <c r="H68" s="1712"/>
      <c r="I68" s="1712"/>
      <c r="J68" s="1712"/>
      <c r="K68" s="1712"/>
      <c r="L68" s="1096"/>
      <c r="N68" s="1364"/>
      <c r="O68" s="1364"/>
      <c r="P68" s="1364"/>
      <c r="Q68" s="1364"/>
      <c r="R68" s="1364"/>
      <c r="S68" s="1364"/>
      <c r="T68" s="1364"/>
      <c r="U68" s="1364"/>
      <c r="V68" s="1364"/>
      <c r="W68" s="1364"/>
      <c r="X68" s="1364"/>
    </row>
    <row r="69" spans="2:24" s="1100" customFormat="1" ht="46.15" customHeight="1" x14ac:dyDescent="0.35">
      <c r="C69" s="1801"/>
      <c r="D69" s="1713"/>
      <c r="E69" s="1714"/>
      <c r="F69" s="1715"/>
      <c r="G69" s="1712"/>
      <c r="H69" s="1712"/>
      <c r="I69" s="1712"/>
      <c r="J69" s="1712"/>
      <c r="K69" s="1712"/>
      <c r="L69" s="1096"/>
      <c r="N69" s="1364"/>
      <c r="O69" s="1364"/>
      <c r="P69" s="1364"/>
      <c r="Q69" s="1364"/>
      <c r="R69" s="1364"/>
      <c r="S69" s="1364"/>
      <c r="T69" s="1364"/>
      <c r="U69" s="1364"/>
      <c r="V69" s="1364"/>
      <c r="W69" s="1364"/>
      <c r="X69" s="1364"/>
    </row>
    <row r="70" spans="2:24" s="1100" customFormat="1" ht="46.15" customHeight="1" x14ac:dyDescent="0.35">
      <c r="C70" s="1801"/>
      <c r="D70" s="1713"/>
      <c r="E70" s="1714"/>
      <c r="F70" s="1715"/>
      <c r="G70" s="1712"/>
      <c r="H70" s="1712"/>
      <c r="I70" s="1712"/>
      <c r="J70" s="1712"/>
      <c r="K70" s="1712"/>
      <c r="L70" s="1096"/>
      <c r="N70" s="1364"/>
      <c r="O70" s="1364"/>
      <c r="P70" s="1364"/>
      <c r="Q70" s="1364"/>
      <c r="R70" s="1364"/>
      <c r="S70" s="1364"/>
      <c r="T70" s="1364"/>
      <c r="U70" s="1364"/>
      <c r="V70" s="1364"/>
      <c r="W70" s="1364"/>
      <c r="X70" s="1364"/>
    </row>
    <row r="71" spans="2:24" s="1100" customFormat="1" ht="46.15" customHeight="1" x14ac:dyDescent="0.35">
      <c r="C71" s="1801"/>
      <c r="D71" s="1713"/>
      <c r="E71" s="1714"/>
      <c r="F71" s="1715"/>
      <c r="G71" s="1712"/>
      <c r="H71" s="1712"/>
      <c r="I71" s="1712"/>
      <c r="J71" s="1712"/>
      <c r="K71" s="1712"/>
      <c r="L71" s="1096"/>
      <c r="N71" s="1364"/>
      <c r="O71" s="1364"/>
      <c r="P71" s="1364"/>
      <c r="Q71" s="1364"/>
      <c r="R71" s="1364"/>
      <c r="S71" s="1364"/>
      <c r="T71" s="1364"/>
      <c r="U71" s="1364"/>
      <c r="V71" s="1364"/>
      <c r="W71" s="1364"/>
      <c r="X71" s="1364"/>
    </row>
    <row r="72" spans="2:24" s="1100" customFormat="1" ht="46.15" customHeight="1" x14ac:dyDescent="0.35">
      <c r="C72" s="1801"/>
      <c r="D72" s="1713"/>
      <c r="E72" s="1714"/>
      <c r="F72" s="1715"/>
      <c r="G72" s="1712"/>
      <c r="H72" s="1712"/>
      <c r="I72" s="1712"/>
      <c r="J72" s="1712"/>
      <c r="K72" s="1712"/>
      <c r="L72" s="1096"/>
      <c r="N72" s="1364"/>
      <c r="O72" s="1364"/>
      <c r="P72" s="1364"/>
      <c r="Q72" s="1364"/>
      <c r="R72" s="1364"/>
      <c r="S72" s="1364"/>
      <c r="T72" s="1364"/>
      <c r="U72" s="1364"/>
      <c r="V72" s="1364"/>
      <c r="W72" s="1364"/>
      <c r="X72" s="1364"/>
    </row>
    <row r="73" spans="2:24" s="1100" customFormat="1" ht="46.15" customHeight="1" x14ac:dyDescent="0.35">
      <c r="C73" s="1801"/>
      <c r="D73" s="1713"/>
      <c r="E73" s="1714"/>
      <c r="F73" s="1715"/>
      <c r="G73" s="1712"/>
      <c r="H73" s="1712"/>
      <c r="I73" s="1712"/>
      <c r="J73" s="1712"/>
      <c r="K73" s="1712"/>
      <c r="L73" s="1096"/>
      <c r="N73" s="1364"/>
      <c r="O73" s="1364"/>
      <c r="P73" s="1364"/>
      <c r="Q73" s="1364"/>
      <c r="R73" s="1364"/>
      <c r="S73" s="1364"/>
      <c r="T73" s="1364"/>
      <c r="U73" s="1364"/>
      <c r="V73" s="1364"/>
      <c r="W73" s="1364"/>
      <c r="X73" s="1364"/>
    </row>
    <row r="74" spans="2:24" s="1100" customFormat="1" ht="46.15" customHeight="1" x14ac:dyDescent="0.35">
      <c r="C74" s="1801"/>
      <c r="D74" s="1713"/>
      <c r="E74" s="1714"/>
      <c r="F74" s="1715"/>
      <c r="G74" s="1712"/>
      <c r="H74" s="1712"/>
      <c r="I74" s="1712"/>
      <c r="J74" s="1712"/>
      <c r="K74" s="1712"/>
      <c r="L74" s="1096"/>
      <c r="N74" s="1364"/>
      <c r="O74" s="1364"/>
      <c r="P74" s="1364"/>
      <c r="Q74" s="1364"/>
      <c r="R74" s="1364"/>
      <c r="S74" s="1364"/>
      <c r="T74" s="1364"/>
      <c r="U74" s="1364"/>
      <c r="V74" s="1364"/>
      <c r="W74" s="1364"/>
      <c r="X74" s="1364"/>
    </row>
    <row r="75" spans="2:24" s="1100" customFormat="1" ht="46.15" customHeight="1" x14ac:dyDescent="0.35">
      <c r="C75" s="1801"/>
      <c r="D75" s="1713"/>
      <c r="E75" s="1714"/>
      <c r="F75" s="1715"/>
      <c r="G75" s="1712"/>
      <c r="H75" s="1712"/>
      <c r="I75" s="1712"/>
      <c r="J75" s="1712"/>
      <c r="K75" s="1712"/>
      <c r="L75" s="1096"/>
      <c r="N75" s="1364"/>
      <c r="O75" s="1364"/>
      <c r="P75" s="1364"/>
      <c r="Q75" s="1364"/>
      <c r="R75" s="1364"/>
      <c r="S75" s="1364"/>
      <c r="T75" s="1364"/>
      <c r="U75" s="1364"/>
      <c r="V75" s="1364"/>
      <c r="W75" s="1364"/>
      <c r="X75" s="1364"/>
    </row>
    <row r="76" spans="2:24" s="1100" customFormat="1" ht="46.15" customHeight="1" x14ac:dyDescent="0.35">
      <c r="C76" s="1801"/>
      <c r="D76" s="1713"/>
      <c r="E76" s="1714"/>
      <c r="F76" s="1715"/>
      <c r="G76" s="1712"/>
      <c r="H76" s="1712"/>
      <c r="I76" s="1712"/>
      <c r="J76" s="1712"/>
      <c r="K76" s="1712"/>
      <c r="L76" s="1096"/>
      <c r="N76" s="1364"/>
      <c r="O76" s="1364"/>
      <c r="P76" s="1364"/>
      <c r="Q76" s="1364"/>
      <c r="R76" s="1364"/>
      <c r="S76" s="1364"/>
      <c r="T76" s="1364"/>
      <c r="U76" s="1364"/>
      <c r="V76" s="1364"/>
      <c r="W76" s="1364"/>
      <c r="X76" s="1364"/>
    </row>
    <row r="77" spans="2:24" s="1100" customFormat="1" ht="46.15" customHeight="1" x14ac:dyDescent="0.35">
      <c r="C77" s="1801"/>
      <c r="D77" s="1713"/>
      <c r="E77" s="1714"/>
      <c r="F77" s="1715"/>
      <c r="G77" s="1712"/>
      <c r="H77" s="1712"/>
      <c r="I77" s="1712"/>
      <c r="J77" s="1712"/>
      <c r="K77" s="1712"/>
      <c r="L77" s="1096"/>
      <c r="N77" s="1364"/>
      <c r="O77" s="1364"/>
      <c r="P77" s="1364"/>
      <c r="Q77" s="1364"/>
      <c r="R77" s="1364"/>
      <c r="S77" s="1364"/>
      <c r="T77" s="1364"/>
      <c r="U77" s="1364"/>
      <c r="V77" s="1364"/>
      <c r="W77" s="1364"/>
      <c r="X77" s="1364"/>
    </row>
    <row r="78" spans="2:24" s="1100" customFormat="1" ht="119.45" customHeight="1" x14ac:dyDescent="0.35">
      <c r="C78" s="958" t="s">
        <v>1278</v>
      </c>
      <c r="D78" s="1802"/>
      <c r="E78" s="1802"/>
      <c r="F78" s="1802"/>
      <c r="G78" s="1802"/>
      <c r="H78" s="1802"/>
      <c r="I78" s="1802"/>
      <c r="J78" s="1802"/>
      <c r="K78" s="1802"/>
      <c r="L78" s="805"/>
      <c r="N78" s="1364"/>
      <c r="O78" s="1364"/>
      <c r="P78" s="1364"/>
      <c r="Q78" s="1364"/>
      <c r="R78" s="1364"/>
      <c r="S78" s="1364"/>
      <c r="T78" s="1364"/>
      <c r="U78" s="1364"/>
      <c r="V78" s="1364"/>
      <c r="W78" s="1364"/>
      <c r="X78" s="1364"/>
    </row>
    <row r="79" spans="2:24" s="1100" customFormat="1" ht="46.15" customHeight="1" x14ac:dyDescent="0.35">
      <c r="C79" s="958" t="s">
        <v>668</v>
      </c>
      <c r="D79" s="1802"/>
      <c r="E79" s="1802"/>
      <c r="F79" s="1802"/>
      <c r="G79" s="1712"/>
      <c r="H79" s="1712"/>
      <c r="I79" s="1712"/>
      <c r="J79" s="1712"/>
      <c r="K79" s="1712"/>
      <c r="L79" s="807"/>
      <c r="N79" s="1364"/>
      <c r="O79" s="1364"/>
      <c r="P79" s="1364"/>
      <c r="Q79" s="1364"/>
      <c r="R79" s="1364"/>
      <c r="S79" s="1364"/>
      <c r="T79" s="1364"/>
      <c r="U79" s="1364"/>
      <c r="V79" s="1364"/>
      <c r="W79" s="1364"/>
      <c r="X79" s="1364"/>
    </row>
    <row r="80" spans="2:24" s="1100" customFormat="1" x14ac:dyDescent="0.35">
      <c r="B80" s="808"/>
      <c r="C80" s="808"/>
      <c r="D80" s="806"/>
      <c r="E80" s="806"/>
      <c r="F80" s="805"/>
      <c r="G80" s="805"/>
      <c r="H80" s="805"/>
      <c r="I80" s="805"/>
      <c r="J80" s="805"/>
      <c r="K80" s="805"/>
      <c r="L80" s="805"/>
      <c r="N80" s="1364"/>
      <c r="O80" s="1364"/>
      <c r="P80" s="1364"/>
      <c r="Q80" s="1364"/>
      <c r="R80" s="1364"/>
      <c r="S80" s="1364"/>
      <c r="T80" s="1364"/>
      <c r="U80" s="1364"/>
      <c r="V80" s="1364"/>
      <c r="W80" s="1364"/>
      <c r="X80" s="1364"/>
    </row>
    <row r="81" spans="2:29" s="1100" customFormat="1" ht="64.5" customHeight="1" x14ac:dyDescent="0.35">
      <c r="B81" s="1094"/>
      <c r="C81" s="1107" t="s">
        <v>1473</v>
      </c>
      <c r="D81" s="1891" t="s">
        <v>1711</v>
      </c>
      <c r="E81" s="1891"/>
      <c r="F81" s="1891"/>
      <c r="G81" s="1891"/>
      <c r="H81" s="1891"/>
      <c r="I81" s="807"/>
      <c r="J81" s="807"/>
      <c r="K81" s="807"/>
      <c r="L81" s="805"/>
      <c r="N81" s="1364"/>
      <c r="O81" s="1364"/>
      <c r="P81" s="1364"/>
      <c r="Q81" s="1364"/>
      <c r="R81" s="1364"/>
      <c r="S81" s="1364"/>
      <c r="T81" s="1364"/>
      <c r="U81" s="1364"/>
      <c r="V81" s="1364"/>
      <c r="W81" s="1364"/>
      <c r="X81" s="1364"/>
    </row>
    <row r="82" spans="2:29" s="1100" customFormat="1" x14ac:dyDescent="0.35">
      <c r="B82" s="1094"/>
      <c r="C82" s="1094"/>
      <c r="D82" s="1892" t="s">
        <v>1276</v>
      </c>
      <c r="E82" s="1892"/>
      <c r="F82" s="1892"/>
      <c r="G82" s="1892"/>
      <c r="H82" s="1892"/>
      <c r="I82" s="807"/>
      <c r="J82" s="807"/>
      <c r="K82" s="807"/>
      <c r="L82" s="805"/>
      <c r="N82" s="1364"/>
      <c r="O82" s="1364"/>
      <c r="P82" s="1364"/>
      <c r="Q82" s="1364"/>
      <c r="R82" s="1364"/>
      <c r="S82" s="1364"/>
      <c r="T82" s="1364"/>
      <c r="U82" s="1364"/>
      <c r="V82" s="1364"/>
      <c r="W82" s="1364"/>
      <c r="X82" s="1364"/>
    </row>
    <row r="83" spans="2:29" s="1100" customFormat="1" x14ac:dyDescent="0.35">
      <c r="B83" s="803"/>
      <c r="C83" s="803"/>
      <c r="D83" s="803"/>
      <c r="E83" s="803"/>
      <c r="F83" s="803"/>
      <c r="G83" s="1094"/>
      <c r="H83" s="803"/>
      <c r="I83" s="1108"/>
      <c r="J83" s="862"/>
      <c r="K83" s="803"/>
      <c r="L83" s="805"/>
      <c r="N83" s="1364"/>
      <c r="O83" s="1364"/>
      <c r="P83" s="1364"/>
      <c r="Q83" s="1364"/>
      <c r="R83" s="1364"/>
      <c r="S83" s="1364"/>
      <c r="T83" s="1364"/>
      <c r="U83" s="1364"/>
      <c r="V83" s="1364"/>
      <c r="W83" s="1364"/>
      <c r="X83" s="1364"/>
    </row>
    <row r="84" spans="2:29" s="1100" customFormat="1" ht="64.5" customHeight="1" x14ac:dyDescent="0.35">
      <c r="B84" s="803"/>
      <c r="C84" s="1107" t="s">
        <v>1474</v>
      </c>
      <c r="D84" s="1893" t="s">
        <v>1710</v>
      </c>
      <c r="E84" s="1893"/>
      <c r="F84" s="1893"/>
      <c r="G84" s="1893"/>
      <c r="H84" s="1893"/>
      <c r="I84" s="1418"/>
      <c r="J84" s="1418"/>
      <c r="K84" s="1418"/>
      <c r="L84" s="805"/>
      <c r="N84" s="1364"/>
      <c r="O84" s="1364"/>
      <c r="P84" s="1364"/>
      <c r="Q84" s="1364"/>
      <c r="R84" s="1364"/>
      <c r="S84" s="1364"/>
      <c r="T84" s="1364"/>
      <c r="U84" s="1364"/>
      <c r="V84" s="1364"/>
      <c r="W84" s="1364"/>
      <c r="X84" s="1364"/>
    </row>
    <row r="85" spans="2:29" s="1100" customFormat="1" x14ac:dyDescent="0.35">
      <c r="B85" s="803"/>
      <c r="C85" s="803"/>
      <c r="D85" s="803"/>
      <c r="E85" s="803"/>
      <c r="F85" s="803"/>
      <c r="G85" s="1094"/>
      <c r="H85" s="809"/>
      <c r="I85" s="1108"/>
      <c r="J85" s="1094"/>
      <c r="K85" s="862"/>
      <c r="L85" s="803"/>
      <c r="N85" s="1364"/>
      <c r="O85" s="1364"/>
      <c r="P85" s="1364"/>
      <c r="Q85" s="1364"/>
      <c r="R85" s="1364"/>
      <c r="S85" s="1364"/>
      <c r="T85" s="1364"/>
      <c r="U85" s="1364"/>
      <c r="V85" s="1364"/>
      <c r="W85" s="1364"/>
      <c r="X85" s="1364"/>
    </row>
    <row r="86" spans="2:29" s="1100" customFormat="1" x14ac:dyDescent="0.35">
      <c r="B86" s="803"/>
      <c r="C86" s="803"/>
      <c r="D86" s="803"/>
      <c r="E86" s="803"/>
      <c r="F86" s="803"/>
      <c r="G86" s="1094"/>
      <c r="H86" s="803"/>
      <c r="I86" s="803"/>
      <c r="J86" s="803"/>
      <c r="K86" s="803"/>
      <c r="L86" s="803"/>
      <c r="N86" s="1364"/>
      <c r="O86" s="1364"/>
      <c r="P86" s="1364"/>
      <c r="Q86" s="1364"/>
      <c r="R86" s="1364"/>
      <c r="S86" s="1364"/>
      <c r="T86" s="1364"/>
      <c r="U86" s="1364"/>
      <c r="V86" s="1364"/>
      <c r="W86" s="1364"/>
      <c r="X86" s="1364"/>
    </row>
    <row r="87" spans="2:29" s="1100" customFormat="1" x14ac:dyDescent="0.35">
      <c r="B87" s="803"/>
      <c r="C87" s="803"/>
      <c r="D87" s="803"/>
      <c r="E87" s="803"/>
      <c r="F87" s="803"/>
      <c r="G87" s="1094"/>
      <c r="H87" s="803"/>
      <c r="I87" s="803"/>
      <c r="J87" s="803"/>
      <c r="K87" s="1094"/>
      <c r="L87" s="862"/>
      <c r="N87" s="1364"/>
      <c r="O87" s="1364"/>
      <c r="P87" s="1364"/>
      <c r="Q87" s="1364"/>
      <c r="R87" s="1364"/>
      <c r="S87" s="1364"/>
      <c r="T87" s="1364"/>
      <c r="U87" s="1364"/>
      <c r="V87" s="1364"/>
      <c r="W87" s="1364"/>
      <c r="X87" s="1364"/>
    </row>
    <row r="88" spans="2:29" s="1100" customFormat="1" x14ac:dyDescent="0.35">
      <c r="B88" s="803"/>
      <c r="C88" s="803"/>
      <c r="D88" s="803"/>
      <c r="E88" s="803"/>
      <c r="F88" s="803"/>
      <c r="G88" s="1094"/>
      <c r="H88" s="803"/>
      <c r="I88" s="803"/>
      <c r="J88" s="803"/>
      <c r="K88" s="803"/>
      <c r="L88" s="803"/>
      <c r="N88" s="1364"/>
      <c r="O88" s="1364"/>
      <c r="P88" s="1364"/>
      <c r="Q88" s="1364"/>
      <c r="R88" s="1364"/>
      <c r="S88" s="1364"/>
      <c r="T88" s="1364"/>
      <c r="U88" s="1364"/>
      <c r="V88" s="1364"/>
      <c r="W88" s="1364"/>
      <c r="X88" s="1364"/>
    </row>
    <row r="89" spans="2:29" s="1109" customFormat="1" ht="13.9" customHeight="1" x14ac:dyDescent="0.3">
      <c r="B89" s="1800"/>
      <c r="C89" s="1800"/>
      <c r="D89" s="1800"/>
      <c r="E89" s="1800"/>
      <c r="F89" s="1800"/>
      <c r="G89" s="1095"/>
      <c r="H89" s="810"/>
      <c r="I89" s="810"/>
      <c r="J89" s="810"/>
      <c r="K89" s="803"/>
      <c r="L89" s="1094"/>
      <c r="N89" s="1389"/>
      <c r="O89" s="1389"/>
      <c r="P89" s="1389"/>
      <c r="Q89" s="1389"/>
      <c r="R89" s="1389"/>
      <c r="S89" s="1389"/>
      <c r="T89" s="1389"/>
      <c r="U89" s="1389"/>
      <c r="V89" s="1389"/>
      <c r="W89" s="1389"/>
      <c r="X89" s="1389"/>
    </row>
    <row r="90" spans="2:29" s="1109" customFormat="1" ht="13.9" customHeight="1" x14ac:dyDescent="0.3">
      <c r="K90" s="803"/>
      <c r="L90" s="803"/>
      <c r="N90" s="1389"/>
      <c r="O90" s="1389"/>
      <c r="P90" s="1389"/>
      <c r="Q90" s="1389"/>
      <c r="R90" s="1389"/>
      <c r="S90" s="1389"/>
      <c r="T90" s="1389"/>
      <c r="U90" s="1389"/>
      <c r="V90" s="1389"/>
      <c r="W90" s="1389"/>
      <c r="X90" s="1389"/>
    </row>
    <row r="91" spans="2:29" s="1109" customFormat="1" ht="13.9" customHeight="1" x14ac:dyDescent="0.3">
      <c r="K91" s="810"/>
      <c r="L91" s="803"/>
      <c r="N91" s="1389"/>
      <c r="O91" s="1389"/>
      <c r="P91" s="1389"/>
      <c r="Q91" s="1389"/>
      <c r="R91" s="1389"/>
      <c r="S91" s="1389"/>
      <c r="T91" s="1389"/>
      <c r="U91" s="1389"/>
      <c r="V91" s="1389"/>
      <c r="W91" s="1389"/>
      <c r="X91" s="1389"/>
    </row>
    <row r="92" spans="2:29" s="1109" customFormat="1" ht="13.9" customHeight="1" x14ac:dyDescent="0.3">
      <c r="L92" s="803"/>
      <c r="N92" s="1389"/>
      <c r="O92" s="1389"/>
      <c r="P92" s="1389"/>
      <c r="Q92" s="1389"/>
      <c r="R92" s="1389"/>
      <c r="S92" s="1389"/>
      <c r="T92" s="1389"/>
      <c r="U92" s="1389"/>
      <c r="V92" s="1389"/>
      <c r="W92" s="1389"/>
      <c r="X92" s="1389"/>
    </row>
    <row r="93" spans="2:29" s="1109" customFormat="1" ht="13.9" customHeight="1" x14ac:dyDescent="0.2">
      <c r="L93" s="810"/>
      <c r="N93" s="1389"/>
      <c r="O93" s="1389"/>
      <c r="P93" s="1389"/>
      <c r="Q93" s="1389"/>
      <c r="R93" s="1389"/>
      <c r="S93" s="1389"/>
      <c r="T93" s="1389"/>
      <c r="U93" s="1389"/>
      <c r="V93" s="1389"/>
      <c r="W93" s="1389"/>
      <c r="X93" s="1389"/>
    </row>
    <row r="94" spans="2:29" s="1109" customFormat="1" ht="13.9" customHeight="1" x14ac:dyDescent="0.2">
      <c r="N94" s="1389"/>
      <c r="O94" s="1389"/>
      <c r="P94" s="1389"/>
      <c r="Q94" s="1389"/>
      <c r="R94" s="1389"/>
      <c r="S94" s="1389"/>
      <c r="T94" s="1389"/>
      <c r="U94" s="1389"/>
      <c r="V94" s="1389"/>
      <c r="W94" s="1389"/>
      <c r="X94" s="1389"/>
    </row>
    <row r="95" spans="2:29" s="1109" customFormat="1" ht="13.9" customHeight="1" x14ac:dyDescent="0.2">
      <c r="N95" s="1389"/>
      <c r="O95" s="1389"/>
      <c r="P95" s="1389"/>
      <c r="Q95" s="1389"/>
      <c r="R95" s="1389"/>
      <c r="S95" s="1389"/>
      <c r="T95" s="1389"/>
      <c r="U95" s="1389"/>
      <c r="V95" s="1389"/>
      <c r="W95" s="1389"/>
      <c r="X95" s="1389"/>
      <c r="Y95" s="1110"/>
    </row>
    <row r="96" spans="2:29" s="1109" customFormat="1" ht="13.9" customHeight="1" x14ac:dyDescent="0.2">
      <c r="D96" s="1111"/>
      <c r="E96" s="1111"/>
      <c r="N96" s="1389"/>
      <c r="O96" s="1389"/>
      <c r="P96" s="1389"/>
      <c r="Q96" s="1389"/>
      <c r="R96" s="1389"/>
      <c r="S96" s="1389"/>
      <c r="T96" s="1389"/>
      <c r="U96" s="1389"/>
      <c r="V96" s="1389"/>
      <c r="W96" s="1389"/>
      <c r="X96" s="1389"/>
      <c r="Y96" s="1110"/>
      <c r="Z96" s="1112"/>
      <c r="AA96" s="1113"/>
      <c r="AB96" s="1112"/>
      <c r="AC96" s="1114"/>
    </row>
    <row r="97" spans="14:29" s="1109" customFormat="1" ht="13.9" customHeight="1" x14ac:dyDescent="0.2">
      <c r="N97" s="1389"/>
      <c r="O97" s="1389"/>
      <c r="P97" s="1389"/>
      <c r="Q97" s="1389"/>
      <c r="R97" s="1389"/>
      <c r="S97" s="1389"/>
      <c r="T97" s="1389"/>
      <c r="U97" s="1389"/>
      <c r="V97" s="1389"/>
      <c r="W97" s="1389"/>
      <c r="X97" s="1389"/>
      <c r="Y97" s="1110"/>
      <c r="Z97" s="1112"/>
      <c r="AA97" s="1112"/>
      <c r="AB97" s="1112"/>
      <c r="AC97" s="1115"/>
    </row>
    <row r="98" spans="14:29" s="1109" customFormat="1" ht="13.9" customHeight="1" x14ac:dyDescent="0.2">
      <c r="N98" s="1389"/>
      <c r="O98" s="1389"/>
      <c r="P98" s="1389"/>
      <c r="Q98" s="1389"/>
      <c r="R98" s="1389"/>
      <c r="S98" s="1389"/>
      <c r="T98" s="1389"/>
      <c r="U98" s="1389"/>
      <c r="V98" s="1389"/>
      <c r="W98" s="1389"/>
      <c r="X98" s="1389"/>
      <c r="Y98" s="1116"/>
      <c r="Z98" s="1115"/>
      <c r="AA98" s="1115"/>
      <c r="AB98" s="1115"/>
      <c r="AC98" s="1114"/>
    </row>
    <row r="99" spans="14:29" s="1109" customFormat="1" ht="13.9" customHeight="1" x14ac:dyDescent="0.2">
      <c r="N99" s="1389"/>
      <c r="O99" s="1389"/>
      <c r="P99" s="1389"/>
      <c r="Q99" s="1389"/>
      <c r="R99" s="1389"/>
      <c r="S99" s="1389"/>
      <c r="T99" s="1389"/>
      <c r="U99" s="1389"/>
      <c r="V99" s="1389"/>
      <c r="W99" s="1389"/>
      <c r="X99" s="1389"/>
    </row>
    <row r="100" spans="14:29" s="1109" customFormat="1" ht="13.9" customHeight="1" x14ac:dyDescent="0.2">
      <c r="N100" s="1389"/>
      <c r="O100" s="1389"/>
      <c r="P100" s="1389"/>
      <c r="Q100" s="1389"/>
      <c r="R100" s="1389"/>
      <c r="S100" s="1389"/>
      <c r="T100" s="1389"/>
      <c r="U100" s="1389"/>
      <c r="V100" s="1389"/>
      <c r="W100" s="1389"/>
      <c r="X100" s="1389"/>
      <c r="Y100" s="1117"/>
    </row>
    <row r="101" spans="14:29" s="1109" customFormat="1" ht="13.9" customHeight="1" x14ac:dyDescent="0.2">
      <c r="N101" s="1389"/>
      <c r="O101" s="1389"/>
      <c r="P101" s="1389"/>
      <c r="Q101" s="1389"/>
      <c r="R101" s="1389"/>
      <c r="S101" s="1389"/>
      <c r="T101" s="1389"/>
      <c r="U101" s="1389"/>
      <c r="V101" s="1389"/>
      <c r="W101" s="1389"/>
      <c r="X101" s="1389"/>
      <c r="Z101" s="1113"/>
      <c r="AA101" s="1113"/>
      <c r="AB101" s="1113"/>
      <c r="AC101" s="1115"/>
    </row>
    <row r="102" spans="14:29" s="1109" customFormat="1" ht="13.9" customHeight="1" x14ac:dyDescent="0.2">
      <c r="N102" s="1389"/>
      <c r="O102" s="1389"/>
      <c r="P102" s="1389"/>
      <c r="Q102" s="1389"/>
      <c r="R102" s="1389"/>
      <c r="S102" s="1389"/>
      <c r="T102" s="1389"/>
      <c r="U102" s="1389"/>
      <c r="V102" s="1389"/>
      <c r="W102" s="1389"/>
      <c r="X102" s="1389"/>
      <c r="Z102" s="1112"/>
      <c r="AA102" s="1115"/>
      <c r="AB102" s="1112"/>
      <c r="AC102" s="1114"/>
    </row>
    <row r="103" spans="14:29" s="1109" customFormat="1" ht="13.9" customHeight="1" x14ac:dyDescent="0.2">
      <c r="N103" s="1389"/>
      <c r="O103" s="1389"/>
      <c r="P103" s="1389"/>
      <c r="Q103" s="1389"/>
      <c r="R103" s="1389"/>
      <c r="S103" s="1389"/>
      <c r="T103" s="1389"/>
      <c r="U103" s="1389"/>
      <c r="V103" s="1389"/>
      <c r="W103" s="1389"/>
      <c r="X103" s="1389"/>
      <c r="Z103" s="1112"/>
      <c r="AA103" s="1112"/>
      <c r="AB103" s="1112"/>
      <c r="AC103" s="1115"/>
    </row>
    <row r="104" spans="14:29" s="1109" customFormat="1" ht="13.9" customHeight="1" x14ac:dyDescent="0.2">
      <c r="N104" s="1389"/>
      <c r="O104" s="1389"/>
      <c r="P104" s="1389"/>
      <c r="Q104" s="1389"/>
      <c r="R104" s="1389"/>
      <c r="S104" s="1389"/>
      <c r="T104" s="1389"/>
      <c r="U104" s="1389"/>
      <c r="V104" s="1389"/>
      <c r="W104" s="1389"/>
      <c r="X104" s="1389"/>
      <c r="Z104" s="1112"/>
      <c r="AA104" s="1112"/>
      <c r="AB104" s="1112"/>
      <c r="AC104" s="1115"/>
    </row>
    <row r="105" spans="14:29" s="1109" customFormat="1" ht="13.9" customHeight="1" x14ac:dyDescent="0.2">
      <c r="N105" s="1389"/>
      <c r="O105" s="1389"/>
      <c r="P105" s="1389"/>
      <c r="Q105" s="1389"/>
      <c r="R105" s="1389"/>
      <c r="S105" s="1389"/>
      <c r="T105" s="1389"/>
      <c r="U105" s="1389"/>
      <c r="V105" s="1389"/>
      <c r="W105" s="1389"/>
      <c r="X105" s="1389"/>
      <c r="Z105" s="1111"/>
      <c r="AA105" s="1115"/>
      <c r="AB105" s="1111"/>
      <c r="AC105" s="1114"/>
    </row>
    <row r="106" spans="14:29" s="1109" customFormat="1" ht="13.9" customHeight="1" x14ac:dyDescent="0.2">
      <c r="N106" s="1389"/>
      <c r="O106" s="1389"/>
      <c r="P106" s="1389"/>
      <c r="Q106" s="1389"/>
      <c r="R106" s="1389"/>
      <c r="S106" s="1389"/>
      <c r="T106" s="1389"/>
      <c r="U106" s="1389"/>
      <c r="V106" s="1389"/>
      <c r="W106" s="1389"/>
      <c r="X106" s="1389"/>
      <c r="Z106" s="1111"/>
      <c r="AA106" s="1115"/>
      <c r="AB106" s="1111"/>
      <c r="AC106" s="1114"/>
    </row>
    <row r="107" spans="14:29" s="1109" customFormat="1" ht="13.9" customHeight="1" x14ac:dyDescent="0.2">
      <c r="N107" s="1389"/>
      <c r="O107" s="1389"/>
      <c r="P107" s="1389"/>
      <c r="Q107" s="1389"/>
      <c r="R107" s="1389"/>
      <c r="S107" s="1389"/>
      <c r="T107" s="1389"/>
      <c r="U107" s="1389"/>
      <c r="V107" s="1389"/>
      <c r="W107" s="1389"/>
      <c r="X107" s="1389"/>
    </row>
    <row r="108" spans="14:29" s="1109" customFormat="1" ht="13.9" customHeight="1" x14ac:dyDescent="0.2">
      <c r="N108" s="1389"/>
      <c r="O108" s="1389"/>
      <c r="P108" s="1389"/>
      <c r="Q108" s="1389"/>
      <c r="R108" s="1389"/>
      <c r="S108" s="1389"/>
      <c r="T108" s="1389"/>
      <c r="U108" s="1389"/>
      <c r="V108" s="1389"/>
      <c r="W108" s="1389"/>
      <c r="X108" s="1389"/>
    </row>
    <row r="109" spans="14:29" s="1109" customFormat="1" ht="13.9" customHeight="1" x14ac:dyDescent="0.2">
      <c r="N109" s="1389"/>
      <c r="O109" s="1389"/>
      <c r="P109" s="1389"/>
      <c r="Q109" s="1389"/>
      <c r="R109" s="1389"/>
      <c r="S109" s="1389"/>
      <c r="T109" s="1389"/>
      <c r="U109" s="1389"/>
      <c r="V109" s="1389"/>
      <c r="W109" s="1389"/>
      <c r="X109" s="1389"/>
    </row>
    <row r="110" spans="14:29" s="1109" customFormat="1" ht="13.9" customHeight="1" x14ac:dyDescent="0.25">
      <c r="N110" s="1389"/>
      <c r="O110" s="1389"/>
      <c r="P110" s="1389"/>
      <c r="Q110" s="1389"/>
      <c r="R110" s="1389"/>
      <c r="S110" s="1389"/>
      <c r="T110" s="1389"/>
      <c r="U110" s="1389"/>
      <c r="V110" s="1389"/>
      <c r="W110" s="1389"/>
      <c r="X110" s="1389"/>
      <c r="Z110" s="371"/>
      <c r="AA110" s="371"/>
      <c r="AB110" s="371"/>
      <c r="AC110" s="371"/>
    </row>
    <row r="111" spans="14:29" s="1109" customFormat="1" ht="13.9" customHeight="1" x14ac:dyDescent="0.25">
      <c r="N111" s="1389"/>
      <c r="O111" s="1389"/>
      <c r="P111" s="1389"/>
      <c r="Q111" s="1389"/>
      <c r="R111" s="1389"/>
      <c r="S111" s="1389"/>
      <c r="T111" s="1389"/>
      <c r="U111" s="1389"/>
      <c r="V111" s="1389"/>
      <c r="W111" s="1389"/>
      <c r="X111" s="1389"/>
      <c r="Z111" s="371"/>
      <c r="AA111" s="371"/>
      <c r="AB111" s="371"/>
      <c r="AC111" s="371"/>
    </row>
    <row r="112" spans="14:29" s="1109" customFormat="1" ht="13.9" customHeight="1" x14ac:dyDescent="0.25">
      <c r="N112" s="1389"/>
      <c r="O112" s="1389"/>
      <c r="P112" s="1389"/>
      <c r="Q112" s="1389"/>
      <c r="R112" s="1389"/>
      <c r="S112" s="1389"/>
      <c r="T112" s="1389"/>
      <c r="U112" s="1389"/>
      <c r="V112" s="1389"/>
      <c r="W112" s="1389"/>
      <c r="X112" s="1389"/>
      <c r="Z112" s="371"/>
      <c r="AA112" s="371"/>
      <c r="AB112" s="371"/>
      <c r="AC112" s="371"/>
    </row>
    <row r="113" spans="14:24" s="1109" customFormat="1" ht="13.9" customHeight="1" x14ac:dyDescent="0.2">
      <c r="N113" s="1389"/>
      <c r="O113" s="1389"/>
      <c r="P113" s="1389"/>
      <c r="Q113" s="1389"/>
      <c r="R113" s="1389"/>
      <c r="S113" s="1389"/>
      <c r="T113" s="1389"/>
      <c r="U113" s="1389"/>
      <c r="V113" s="1389"/>
      <c r="W113" s="1389"/>
      <c r="X113" s="1389"/>
    </row>
    <row r="114" spans="14:24" s="1109" customFormat="1" ht="13.9" customHeight="1" x14ac:dyDescent="0.2">
      <c r="N114" s="1389"/>
      <c r="O114" s="1389"/>
      <c r="P114" s="1389"/>
      <c r="Q114" s="1389"/>
      <c r="R114" s="1389"/>
      <c r="S114" s="1389"/>
      <c r="T114" s="1389"/>
      <c r="U114" s="1389"/>
      <c r="V114" s="1389"/>
      <c r="W114" s="1389"/>
      <c r="X114" s="1389"/>
    </row>
    <row r="115" spans="14:24" s="1109" customFormat="1" ht="13.9" customHeight="1" x14ac:dyDescent="0.2">
      <c r="N115" s="1389"/>
      <c r="O115" s="1389"/>
      <c r="P115" s="1389"/>
      <c r="Q115" s="1389"/>
      <c r="R115" s="1389"/>
      <c r="S115" s="1389"/>
      <c r="T115" s="1389"/>
      <c r="U115" s="1389"/>
      <c r="V115" s="1389"/>
      <c r="W115" s="1389"/>
      <c r="X115" s="1389"/>
    </row>
    <row r="116" spans="14:24" s="1109" customFormat="1" ht="13.9" customHeight="1" x14ac:dyDescent="0.2">
      <c r="N116" s="1389"/>
      <c r="O116" s="1389"/>
      <c r="P116" s="1389"/>
      <c r="Q116" s="1389"/>
      <c r="R116" s="1389"/>
      <c r="S116" s="1389"/>
      <c r="T116" s="1389"/>
      <c r="U116" s="1389"/>
      <c r="V116" s="1389"/>
      <c r="W116" s="1389"/>
      <c r="X116" s="1389"/>
    </row>
    <row r="117" spans="14:24" s="1109" customFormat="1" ht="13.9" customHeight="1" x14ac:dyDescent="0.2">
      <c r="N117" s="1389"/>
      <c r="O117" s="1389"/>
      <c r="P117" s="1389"/>
      <c r="Q117" s="1389"/>
      <c r="R117" s="1389"/>
      <c r="S117" s="1389"/>
      <c r="T117" s="1389"/>
      <c r="U117" s="1389"/>
      <c r="V117" s="1389"/>
      <c r="W117" s="1389"/>
      <c r="X117" s="1389"/>
    </row>
    <row r="118" spans="14:24" s="1109" customFormat="1" ht="13.9" customHeight="1" x14ac:dyDescent="0.2">
      <c r="N118" s="1389"/>
      <c r="O118" s="1389"/>
      <c r="P118" s="1389"/>
      <c r="Q118" s="1389"/>
      <c r="R118" s="1389"/>
      <c r="S118" s="1389"/>
      <c r="T118" s="1389"/>
      <c r="U118" s="1389"/>
      <c r="V118" s="1389"/>
      <c r="W118" s="1389"/>
      <c r="X118" s="1389"/>
    </row>
    <row r="119" spans="14:24" s="1109" customFormat="1" ht="13.9" customHeight="1" x14ac:dyDescent="0.2">
      <c r="N119" s="1389"/>
      <c r="O119" s="1389"/>
      <c r="P119" s="1389"/>
      <c r="Q119" s="1389"/>
      <c r="R119" s="1389"/>
      <c r="S119" s="1389"/>
      <c r="T119" s="1389"/>
      <c r="U119" s="1389"/>
      <c r="V119" s="1389"/>
      <c r="W119" s="1389"/>
      <c r="X119" s="1389"/>
    </row>
    <row r="120" spans="14:24" s="1109" customFormat="1" ht="13.9" customHeight="1" x14ac:dyDescent="0.2">
      <c r="N120" s="1389"/>
      <c r="O120" s="1389"/>
      <c r="P120" s="1389"/>
      <c r="Q120" s="1389"/>
      <c r="R120" s="1389"/>
      <c r="S120" s="1389"/>
      <c r="T120" s="1389"/>
      <c r="U120" s="1389"/>
      <c r="V120" s="1389"/>
      <c r="W120" s="1389"/>
      <c r="X120" s="1389"/>
    </row>
    <row r="121" spans="14:24" s="1109" customFormat="1" ht="13.9" customHeight="1" x14ac:dyDescent="0.2">
      <c r="N121" s="1389"/>
      <c r="O121" s="1389"/>
      <c r="P121" s="1389"/>
      <c r="Q121" s="1389"/>
      <c r="R121" s="1389"/>
      <c r="S121" s="1389"/>
      <c r="T121" s="1389"/>
      <c r="U121" s="1389"/>
      <c r="V121" s="1389"/>
      <c r="W121" s="1389"/>
      <c r="X121" s="1389"/>
    </row>
    <row r="122" spans="14:24" s="1109" customFormat="1" ht="13.9" customHeight="1" x14ac:dyDescent="0.2">
      <c r="N122" s="1389"/>
      <c r="O122" s="1389"/>
      <c r="P122" s="1389"/>
      <c r="Q122" s="1389"/>
      <c r="R122" s="1389"/>
      <c r="S122" s="1389"/>
      <c r="T122" s="1389"/>
      <c r="U122" s="1389"/>
      <c r="V122" s="1389"/>
      <c r="W122" s="1389"/>
      <c r="X122" s="1389"/>
    </row>
    <row r="123" spans="14:24" s="1109" customFormat="1" ht="13.9" customHeight="1" x14ac:dyDescent="0.2">
      <c r="N123" s="1389"/>
      <c r="O123" s="1389"/>
      <c r="P123" s="1389"/>
      <c r="Q123" s="1389"/>
      <c r="R123" s="1389"/>
      <c r="S123" s="1389"/>
      <c r="T123" s="1389"/>
      <c r="U123" s="1389"/>
      <c r="V123" s="1389"/>
      <c r="W123" s="1389"/>
      <c r="X123" s="1389"/>
    </row>
    <row r="124" spans="14:24" s="1109" customFormat="1" ht="13.9" customHeight="1" x14ac:dyDescent="0.2">
      <c r="N124" s="1389"/>
      <c r="O124" s="1389"/>
      <c r="P124" s="1389"/>
      <c r="Q124" s="1389"/>
      <c r="R124" s="1389"/>
      <c r="S124" s="1389"/>
      <c r="T124" s="1389"/>
      <c r="U124" s="1389"/>
      <c r="V124" s="1389"/>
      <c r="W124" s="1389"/>
      <c r="X124" s="1389"/>
    </row>
    <row r="125" spans="14:24" s="1109" customFormat="1" ht="13.9" customHeight="1" x14ac:dyDescent="0.2">
      <c r="N125" s="1389"/>
      <c r="O125" s="1389"/>
      <c r="P125" s="1389"/>
      <c r="Q125" s="1389"/>
      <c r="R125" s="1389"/>
      <c r="S125" s="1389"/>
      <c r="T125" s="1389"/>
      <c r="U125" s="1389"/>
      <c r="V125" s="1389"/>
      <c r="W125" s="1389"/>
      <c r="X125" s="1389"/>
    </row>
    <row r="126" spans="14:24" s="1109" customFormat="1" ht="13.9" customHeight="1" x14ac:dyDescent="0.2">
      <c r="N126" s="1389"/>
      <c r="O126" s="1389"/>
      <c r="P126" s="1389"/>
      <c r="Q126" s="1389"/>
      <c r="R126" s="1389"/>
      <c r="S126" s="1389"/>
      <c r="T126" s="1389"/>
      <c r="U126" s="1389"/>
      <c r="V126" s="1389"/>
      <c r="W126" s="1389"/>
      <c r="X126" s="1389"/>
    </row>
    <row r="127" spans="14:24" s="1109" customFormat="1" ht="13.9" customHeight="1" x14ac:dyDescent="0.2">
      <c r="N127" s="1389"/>
      <c r="O127" s="1389"/>
      <c r="P127" s="1389"/>
      <c r="Q127" s="1389"/>
      <c r="R127" s="1389"/>
      <c r="S127" s="1389"/>
      <c r="T127" s="1389"/>
      <c r="U127" s="1389"/>
      <c r="V127" s="1389"/>
      <c r="W127" s="1389"/>
      <c r="X127" s="1389"/>
    </row>
    <row r="128" spans="14:24" s="1109" customFormat="1" ht="13.9" customHeight="1" x14ac:dyDescent="0.2">
      <c r="N128" s="1389"/>
      <c r="O128" s="1389"/>
      <c r="P128" s="1389"/>
      <c r="Q128" s="1389"/>
      <c r="R128" s="1389"/>
      <c r="S128" s="1389"/>
      <c r="T128" s="1389"/>
      <c r="U128" s="1389"/>
      <c r="V128" s="1389"/>
      <c r="W128" s="1389"/>
      <c r="X128" s="1389"/>
    </row>
    <row r="129" spans="14:24" s="1109" customFormat="1" ht="13.9" customHeight="1" x14ac:dyDescent="0.2">
      <c r="N129" s="1389"/>
      <c r="O129" s="1389"/>
      <c r="P129" s="1389"/>
      <c r="Q129" s="1389"/>
      <c r="R129" s="1389"/>
      <c r="S129" s="1389"/>
      <c r="T129" s="1389"/>
      <c r="U129" s="1389"/>
      <c r="V129" s="1389"/>
      <c r="W129" s="1389"/>
      <c r="X129" s="1389"/>
    </row>
    <row r="130" spans="14:24" s="1109" customFormat="1" ht="13.9" customHeight="1" x14ac:dyDescent="0.2">
      <c r="N130" s="1389"/>
      <c r="O130" s="1389"/>
      <c r="P130" s="1389"/>
      <c r="Q130" s="1389"/>
      <c r="R130" s="1389"/>
      <c r="S130" s="1389"/>
      <c r="T130" s="1389"/>
      <c r="U130" s="1389"/>
      <c r="V130" s="1389"/>
      <c r="W130" s="1389"/>
      <c r="X130" s="1389"/>
    </row>
    <row r="131" spans="14:24" s="1109" customFormat="1" ht="13.9" customHeight="1" x14ac:dyDescent="0.2">
      <c r="N131" s="1389"/>
      <c r="O131" s="1389"/>
      <c r="P131" s="1389"/>
      <c r="Q131" s="1389"/>
      <c r="R131" s="1389"/>
      <c r="S131" s="1389"/>
      <c r="T131" s="1389"/>
      <c r="U131" s="1389"/>
      <c r="V131" s="1389"/>
      <c r="W131" s="1389"/>
      <c r="X131" s="1389"/>
    </row>
    <row r="132" spans="14:24" s="1109" customFormat="1" ht="13.9" customHeight="1" x14ac:dyDescent="0.2">
      <c r="N132" s="1389"/>
      <c r="O132" s="1389"/>
      <c r="P132" s="1389"/>
      <c r="Q132" s="1389"/>
      <c r="R132" s="1389"/>
      <c r="S132" s="1389"/>
      <c r="T132" s="1389"/>
      <c r="U132" s="1389"/>
      <c r="V132" s="1389"/>
      <c r="W132" s="1389"/>
      <c r="X132" s="1389"/>
    </row>
    <row r="133" spans="14:24" s="1109" customFormat="1" ht="13.9" customHeight="1" x14ac:dyDescent="0.2">
      <c r="N133" s="1389"/>
      <c r="O133" s="1389"/>
      <c r="P133" s="1389"/>
      <c r="Q133" s="1389"/>
      <c r="R133" s="1389"/>
      <c r="S133" s="1389"/>
      <c r="T133" s="1389"/>
      <c r="U133" s="1389"/>
      <c r="V133" s="1389"/>
      <c r="W133" s="1389"/>
      <c r="X133" s="1389"/>
    </row>
    <row r="134" spans="14:24" s="1109" customFormat="1" ht="13.9" customHeight="1" x14ac:dyDescent="0.2">
      <c r="N134" s="1389"/>
      <c r="O134" s="1389"/>
      <c r="P134" s="1389"/>
      <c r="Q134" s="1389"/>
      <c r="R134" s="1389"/>
      <c r="S134" s="1389"/>
      <c r="T134" s="1389"/>
      <c r="U134" s="1389"/>
      <c r="V134" s="1389"/>
      <c r="W134" s="1389"/>
      <c r="X134" s="1389"/>
    </row>
    <row r="135" spans="14:24" s="1109" customFormat="1" ht="13.9" customHeight="1" x14ac:dyDescent="0.2">
      <c r="N135" s="1389"/>
      <c r="O135" s="1389"/>
      <c r="P135" s="1389"/>
      <c r="Q135" s="1389"/>
      <c r="R135" s="1389"/>
      <c r="S135" s="1389"/>
      <c r="T135" s="1389"/>
      <c r="U135" s="1389"/>
      <c r="V135" s="1389"/>
      <c r="W135" s="1389"/>
      <c r="X135" s="1389"/>
    </row>
    <row r="136" spans="14:24" s="1109" customFormat="1" ht="13.9" customHeight="1" x14ac:dyDescent="0.2">
      <c r="N136" s="1389"/>
      <c r="O136" s="1389"/>
      <c r="P136" s="1389"/>
      <c r="Q136" s="1389"/>
      <c r="R136" s="1389"/>
      <c r="S136" s="1389"/>
      <c r="T136" s="1389"/>
      <c r="U136" s="1389"/>
      <c r="V136" s="1389"/>
      <c r="W136" s="1389"/>
      <c r="X136" s="1389"/>
    </row>
    <row r="137" spans="14:24" s="1109" customFormat="1" ht="13.9" customHeight="1" x14ac:dyDescent="0.2">
      <c r="N137" s="1389"/>
      <c r="O137" s="1389"/>
      <c r="P137" s="1389"/>
      <c r="Q137" s="1389"/>
      <c r="R137" s="1389"/>
      <c r="S137" s="1389"/>
      <c r="T137" s="1389"/>
      <c r="U137" s="1389"/>
      <c r="V137" s="1389"/>
      <c r="W137" s="1389"/>
      <c r="X137" s="1389"/>
    </row>
    <row r="138" spans="14:24" s="1109" customFormat="1" ht="13.9" customHeight="1" x14ac:dyDescent="0.2">
      <c r="N138" s="1389"/>
      <c r="O138" s="1389"/>
      <c r="P138" s="1389"/>
      <c r="Q138" s="1389"/>
      <c r="R138" s="1389"/>
      <c r="S138" s="1389"/>
      <c r="T138" s="1389"/>
      <c r="U138" s="1389"/>
      <c r="V138" s="1389"/>
      <c r="W138" s="1389"/>
      <c r="X138" s="1389"/>
    </row>
    <row r="139" spans="14:24" s="1109" customFormat="1" ht="13.9" customHeight="1" x14ac:dyDescent="0.2">
      <c r="N139" s="1389"/>
      <c r="O139" s="1389"/>
      <c r="P139" s="1389"/>
      <c r="Q139" s="1389"/>
      <c r="R139" s="1389"/>
      <c r="S139" s="1389"/>
      <c r="T139" s="1389"/>
      <c r="U139" s="1389"/>
      <c r="V139" s="1389"/>
      <c r="W139" s="1389"/>
      <c r="X139" s="1389"/>
    </row>
    <row r="140" spans="14:24" s="1109" customFormat="1" ht="13.9" customHeight="1" x14ac:dyDescent="0.2">
      <c r="N140" s="1389"/>
      <c r="O140" s="1389"/>
      <c r="P140" s="1389"/>
      <c r="Q140" s="1389"/>
      <c r="R140" s="1389"/>
      <c r="S140" s="1389"/>
      <c r="T140" s="1389"/>
      <c r="U140" s="1389"/>
      <c r="V140" s="1389"/>
      <c r="W140" s="1389"/>
      <c r="X140" s="1389"/>
    </row>
    <row r="141" spans="14:24" s="1109" customFormat="1" ht="13.9" customHeight="1" x14ac:dyDescent="0.2">
      <c r="N141" s="1389"/>
      <c r="O141" s="1389"/>
      <c r="P141" s="1389"/>
      <c r="Q141" s="1389"/>
      <c r="R141" s="1389"/>
      <c r="S141" s="1389"/>
      <c r="T141" s="1389"/>
      <c r="U141" s="1389"/>
      <c r="V141" s="1389"/>
      <c r="W141" s="1389"/>
      <c r="X141" s="1389"/>
    </row>
    <row r="142" spans="14:24" s="1109" customFormat="1" ht="13.9" customHeight="1" x14ac:dyDescent="0.2">
      <c r="N142" s="1389"/>
      <c r="O142" s="1389"/>
      <c r="P142" s="1389"/>
      <c r="Q142" s="1389"/>
      <c r="R142" s="1389"/>
      <c r="S142" s="1389"/>
      <c r="T142" s="1389"/>
      <c r="U142" s="1389"/>
      <c r="V142" s="1389"/>
      <c r="W142" s="1389"/>
      <c r="X142" s="1389"/>
    </row>
    <row r="143" spans="14:24" s="1109" customFormat="1" ht="13.9" customHeight="1" x14ac:dyDescent="0.2">
      <c r="N143" s="1389"/>
      <c r="O143" s="1389"/>
      <c r="P143" s="1389"/>
      <c r="Q143" s="1389"/>
      <c r="R143" s="1389"/>
      <c r="S143" s="1389"/>
      <c r="T143" s="1389"/>
      <c r="U143" s="1389"/>
      <c r="V143" s="1389"/>
      <c r="W143" s="1389"/>
      <c r="X143" s="1389"/>
    </row>
    <row r="144" spans="14:24" s="1109" customFormat="1" ht="13.9" customHeight="1" x14ac:dyDescent="0.2">
      <c r="N144" s="1389"/>
      <c r="O144" s="1389"/>
      <c r="P144" s="1389"/>
      <c r="Q144" s="1389"/>
      <c r="R144" s="1389"/>
      <c r="S144" s="1389"/>
      <c r="T144" s="1389"/>
      <c r="U144" s="1389"/>
      <c r="V144" s="1389"/>
      <c r="W144" s="1389"/>
      <c r="X144" s="1389"/>
    </row>
    <row r="145" spans="14:24" s="1109" customFormat="1" ht="13.9" customHeight="1" x14ac:dyDescent="0.2">
      <c r="N145" s="1389"/>
      <c r="O145" s="1389"/>
      <c r="P145" s="1389"/>
      <c r="Q145" s="1389"/>
      <c r="R145" s="1389"/>
      <c r="S145" s="1389"/>
      <c r="T145" s="1389"/>
      <c r="U145" s="1389"/>
      <c r="V145" s="1389"/>
      <c r="W145" s="1389"/>
      <c r="X145" s="1389"/>
    </row>
    <row r="146" spans="14:24" s="1109" customFormat="1" ht="13.9" customHeight="1" x14ac:dyDescent="0.2">
      <c r="N146" s="1389"/>
      <c r="O146" s="1389"/>
      <c r="P146" s="1389"/>
      <c r="Q146" s="1389"/>
      <c r="R146" s="1389"/>
      <c r="S146" s="1389"/>
      <c r="T146" s="1389"/>
      <c r="U146" s="1389"/>
      <c r="V146" s="1389"/>
      <c r="W146" s="1389"/>
      <c r="X146" s="1389"/>
    </row>
    <row r="147" spans="14:24" s="1109" customFormat="1" ht="13.9" customHeight="1" x14ac:dyDescent="0.2">
      <c r="N147" s="1389"/>
      <c r="O147" s="1389"/>
      <c r="P147" s="1389"/>
      <c r="Q147" s="1389"/>
      <c r="R147" s="1389"/>
      <c r="S147" s="1389"/>
      <c r="T147" s="1389"/>
      <c r="U147" s="1389"/>
      <c r="V147" s="1389"/>
      <c r="W147" s="1389"/>
      <c r="X147" s="1389"/>
    </row>
    <row r="148" spans="14:24" s="1109" customFormat="1" ht="13.9" customHeight="1" x14ac:dyDescent="0.2">
      <c r="N148" s="1389"/>
      <c r="O148" s="1389"/>
      <c r="P148" s="1389"/>
      <c r="Q148" s="1389"/>
      <c r="R148" s="1389"/>
      <c r="S148" s="1389"/>
      <c r="T148" s="1389"/>
      <c r="U148" s="1389"/>
      <c r="V148" s="1389"/>
      <c r="W148" s="1389"/>
      <c r="X148" s="1389"/>
    </row>
    <row r="149" spans="14:24" s="1109" customFormat="1" ht="13.9" customHeight="1" x14ac:dyDescent="0.2">
      <c r="N149" s="1389"/>
      <c r="O149" s="1389"/>
      <c r="P149" s="1389"/>
      <c r="Q149" s="1389"/>
      <c r="R149" s="1389"/>
      <c r="S149" s="1389"/>
      <c r="T149" s="1389"/>
      <c r="U149" s="1389"/>
      <c r="V149" s="1389"/>
      <c r="W149" s="1389"/>
      <c r="X149" s="1389"/>
    </row>
    <row r="150" spans="14:24" s="1109" customFormat="1" ht="13.9" customHeight="1" x14ac:dyDescent="0.2">
      <c r="N150" s="1389"/>
      <c r="O150" s="1389"/>
      <c r="P150" s="1389"/>
      <c r="Q150" s="1389"/>
      <c r="R150" s="1389"/>
      <c r="S150" s="1389"/>
      <c r="T150" s="1389"/>
      <c r="U150" s="1389"/>
      <c r="V150" s="1389"/>
      <c r="W150" s="1389"/>
      <c r="X150" s="1389"/>
    </row>
    <row r="151" spans="14:24" s="1109" customFormat="1" ht="13.9" customHeight="1" x14ac:dyDescent="0.2">
      <c r="N151" s="1389"/>
      <c r="O151" s="1389"/>
      <c r="P151" s="1389"/>
      <c r="Q151" s="1389"/>
      <c r="R151" s="1389"/>
      <c r="S151" s="1389"/>
      <c r="T151" s="1389"/>
      <c r="U151" s="1389"/>
      <c r="V151" s="1389"/>
      <c r="W151" s="1389"/>
      <c r="X151" s="1389"/>
    </row>
    <row r="152" spans="14:24" s="1109" customFormat="1" ht="13.9" customHeight="1" x14ac:dyDescent="0.2">
      <c r="N152" s="1389"/>
      <c r="O152" s="1389"/>
      <c r="P152" s="1389"/>
      <c r="Q152" s="1389"/>
      <c r="R152" s="1389"/>
      <c r="S152" s="1389"/>
      <c r="T152" s="1389"/>
      <c r="U152" s="1389"/>
      <c r="V152" s="1389"/>
      <c r="W152" s="1389"/>
      <c r="X152" s="1389"/>
    </row>
    <row r="153" spans="14:24" s="1109" customFormat="1" ht="13.9" customHeight="1" x14ac:dyDescent="0.2">
      <c r="N153" s="1389"/>
      <c r="O153" s="1389"/>
      <c r="P153" s="1389"/>
      <c r="Q153" s="1389"/>
      <c r="R153" s="1389"/>
      <c r="S153" s="1389"/>
      <c r="T153" s="1389"/>
      <c r="U153" s="1389"/>
      <c r="V153" s="1389"/>
      <c r="W153" s="1389"/>
      <c r="X153" s="1389"/>
    </row>
    <row r="154" spans="14:24" s="1109" customFormat="1" ht="13.9" customHeight="1" x14ac:dyDescent="0.2">
      <c r="N154" s="1389"/>
      <c r="O154" s="1389"/>
      <c r="P154" s="1389"/>
      <c r="Q154" s="1389"/>
      <c r="R154" s="1389"/>
      <c r="S154" s="1389"/>
      <c r="T154" s="1389"/>
      <c r="U154" s="1389"/>
      <c r="V154" s="1389"/>
      <c r="W154" s="1389"/>
      <c r="X154" s="1389"/>
    </row>
    <row r="155" spans="14:24" s="1109" customFormat="1" ht="13.9" customHeight="1" x14ac:dyDescent="0.2">
      <c r="N155" s="1389"/>
      <c r="O155" s="1389"/>
      <c r="P155" s="1389"/>
      <c r="Q155" s="1389"/>
      <c r="R155" s="1389"/>
      <c r="S155" s="1389"/>
      <c r="T155" s="1389"/>
      <c r="U155" s="1389"/>
      <c r="V155" s="1389"/>
      <c r="W155" s="1389"/>
      <c r="X155" s="1389"/>
    </row>
    <row r="156" spans="14:24" s="1109" customFormat="1" ht="13.9" customHeight="1" x14ac:dyDescent="0.2">
      <c r="N156" s="1389"/>
      <c r="O156" s="1389"/>
      <c r="P156" s="1389"/>
      <c r="Q156" s="1389"/>
      <c r="R156" s="1389"/>
      <c r="S156" s="1389"/>
      <c r="T156" s="1389"/>
      <c r="U156" s="1389"/>
      <c r="V156" s="1389"/>
      <c r="W156" s="1389"/>
      <c r="X156" s="1389"/>
    </row>
    <row r="157" spans="14:24" s="1109" customFormat="1" ht="13.9" customHeight="1" x14ac:dyDescent="0.2">
      <c r="N157" s="1389"/>
      <c r="O157" s="1389"/>
      <c r="P157" s="1389"/>
      <c r="Q157" s="1389"/>
      <c r="R157" s="1389"/>
      <c r="S157" s="1389"/>
      <c r="T157" s="1389"/>
      <c r="U157" s="1389"/>
      <c r="V157" s="1389"/>
      <c r="W157" s="1389"/>
      <c r="X157" s="1389"/>
    </row>
    <row r="158" spans="14:24" s="1109" customFormat="1" ht="13.9" customHeight="1" x14ac:dyDescent="0.2">
      <c r="N158" s="1389"/>
      <c r="O158" s="1389"/>
      <c r="P158" s="1389"/>
      <c r="Q158" s="1389"/>
      <c r="R158" s="1389"/>
      <c r="S158" s="1389"/>
      <c r="T158" s="1389"/>
      <c r="U158" s="1389"/>
      <c r="V158" s="1389"/>
      <c r="W158" s="1389"/>
      <c r="X158" s="1389"/>
    </row>
    <row r="159" spans="14:24" s="1109" customFormat="1" ht="13.9" customHeight="1" x14ac:dyDescent="0.2">
      <c r="N159" s="1389"/>
      <c r="O159" s="1389"/>
      <c r="P159" s="1389"/>
      <c r="Q159" s="1389"/>
      <c r="R159" s="1389"/>
      <c r="S159" s="1389"/>
      <c r="T159" s="1389"/>
      <c r="U159" s="1389"/>
      <c r="V159" s="1389"/>
      <c r="W159" s="1389"/>
      <c r="X159" s="1389"/>
    </row>
    <row r="160" spans="14:24" s="1109" customFormat="1" ht="13.9" customHeight="1" x14ac:dyDescent="0.2">
      <c r="N160" s="1389"/>
      <c r="O160" s="1389"/>
      <c r="P160" s="1389"/>
      <c r="Q160" s="1389"/>
      <c r="R160" s="1389"/>
      <c r="S160" s="1389"/>
      <c r="T160" s="1389"/>
      <c r="U160" s="1389"/>
      <c r="V160" s="1389"/>
      <c r="W160" s="1389"/>
      <c r="X160" s="1389"/>
    </row>
    <row r="161" spans="14:24" s="1109" customFormat="1" ht="13.9" customHeight="1" x14ac:dyDescent="0.2">
      <c r="N161" s="1389"/>
      <c r="O161" s="1389"/>
      <c r="P161" s="1389"/>
      <c r="Q161" s="1389"/>
      <c r="R161" s="1389"/>
      <c r="S161" s="1389"/>
      <c r="T161" s="1389"/>
      <c r="U161" s="1389"/>
      <c r="V161" s="1389"/>
      <c r="W161" s="1389"/>
      <c r="X161" s="1389"/>
    </row>
    <row r="162" spans="14:24" s="1109" customFormat="1" ht="13.9" customHeight="1" x14ac:dyDescent="0.2">
      <c r="N162" s="1389"/>
      <c r="O162" s="1389"/>
      <c r="P162" s="1389"/>
      <c r="Q162" s="1389"/>
      <c r="R162" s="1389"/>
      <c r="S162" s="1389"/>
      <c r="T162" s="1389"/>
      <c r="U162" s="1389"/>
      <c r="V162" s="1389"/>
      <c r="W162" s="1389"/>
      <c r="X162" s="1389"/>
    </row>
    <row r="163" spans="14:24" s="1109" customFormat="1" ht="13.9" customHeight="1" x14ac:dyDescent="0.2">
      <c r="N163" s="1389"/>
      <c r="O163" s="1389"/>
      <c r="P163" s="1389"/>
      <c r="Q163" s="1389"/>
      <c r="R163" s="1389"/>
      <c r="S163" s="1389"/>
      <c r="T163" s="1389"/>
      <c r="U163" s="1389"/>
      <c r="V163" s="1389"/>
      <c r="W163" s="1389"/>
      <c r="X163" s="1389"/>
    </row>
    <row r="164" spans="14:24" s="1109" customFormat="1" ht="13.9" customHeight="1" x14ac:dyDescent="0.2">
      <c r="N164" s="1389"/>
      <c r="O164" s="1389"/>
      <c r="P164" s="1389"/>
      <c r="Q164" s="1389"/>
      <c r="R164" s="1389"/>
      <c r="S164" s="1389"/>
      <c r="T164" s="1389"/>
      <c r="U164" s="1389"/>
      <c r="V164" s="1389"/>
      <c r="W164" s="1389"/>
      <c r="X164" s="1389"/>
    </row>
    <row r="165" spans="14:24" s="1109" customFormat="1" ht="13.9" customHeight="1" x14ac:dyDescent="0.2">
      <c r="N165" s="1389"/>
      <c r="O165" s="1389"/>
      <c r="P165" s="1389"/>
      <c r="Q165" s="1389"/>
      <c r="R165" s="1389"/>
      <c r="S165" s="1389"/>
      <c r="T165" s="1389"/>
      <c r="U165" s="1389"/>
      <c r="V165" s="1389"/>
      <c r="W165" s="1389"/>
      <c r="X165" s="1389"/>
    </row>
    <row r="166" spans="14:24" s="1109" customFormat="1" ht="13.9" customHeight="1" x14ac:dyDescent="0.2">
      <c r="N166" s="1389"/>
      <c r="O166" s="1389"/>
      <c r="P166" s="1389"/>
      <c r="Q166" s="1389"/>
      <c r="R166" s="1389"/>
      <c r="S166" s="1389"/>
      <c r="T166" s="1389"/>
      <c r="U166" s="1389"/>
      <c r="V166" s="1389"/>
      <c r="W166" s="1389"/>
      <c r="X166" s="1389"/>
    </row>
    <row r="167" spans="14:24" s="1109" customFormat="1" ht="13.9" customHeight="1" x14ac:dyDescent="0.2">
      <c r="N167" s="1389"/>
      <c r="O167" s="1389"/>
      <c r="P167" s="1389"/>
      <c r="Q167" s="1389"/>
      <c r="R167" s="1389"/>
      <c r="S167" s="1389"/>
      <c r="T167" s="1389"/>
      <c r="U167" s="1389"/>
      <c r="V167" s="1389"/>
      <c r="W167" s="1389"/>
      <c r="X167" s="1389"/>
    </row>
    <row r="168" spans="14:24" s="1109" customFormat="1" ht="13.9" customHeight="1" x14ac:dyDescent="0.2">
      <c r="N168" s="1389"/>
      <c r="O168" s="1389"/>
      <c r="P168" s="1389"/>
      <c r="Q168" s="1389"/>
      <c r="R168" s="1389"/>
      <c r="S168" s="1389"/>
      <c r="T168" s="1389"/>
      <c r="U168" s="1389"/>
      <c r="V168" s="1389"/>
      <c r="W168" s="1389"/>
      <c r="X168" s="1389"/>
    </row>
    <row r="169" spans="14:24" s="1109" customFormat="1" ht="13.9" customHeight="1" x14ac:dyDescent="0.2">
      <c r="N169" s="1389"/>
      <c r="O169" s="1389"/>
      <c r="P169" s="1389"/>
      <c r="Q169" s="1389"/>
      <c r="R169" s="1389"/>
      <c r="S169" s="1389"/>
      <c r="T169" s="1389"/>
      <c r="U169" s="1389"/>
      <c r="V169" s="1389"/>
      <c r="W169" s="1389"/>
      <c r="X169" s="1389"/>
    </row>
    <row r="170" spans="14:24" s="1109" customFormat="1" ht="13.9" customHeight="1" x14ac:dyDescent="0.2">
      <c r="N170" s="1389"/>
      <c r="O170" s="1389"/>
      <c r="P170" s="1389"/>
      <c r="Q170" s="1389"/>
      <c r="R170" s="1389"/>
      <c r="S170" s="1389"/>
      <c r="T170" s="1389"/>
      <c r="U170" s="1389"/>
      <c r="V170" s="1389"/>
      <c r="W170" s="1389"/>
      <c r="X170" s="1389"/>
    </row>
    <row r="171" spans="14:24" s="1109" customFormat="1" ht="13.9" customHeight="1" x14ac:dyDescent="0.2">
      <c r="N171" s="1389"/>
      <c r="O171" s="1389"/>
      <c r="P171" s="1389"/>
      <c r="Q171" s="1389"/>
      <c r="R171" s="1389"/>
      <c r="S171" s="1389"/>
      <c r="T171" s="1389"/>
      <c r="U171" s="1389"/>
      <c r="V171" s="1389"/>
      <c r="W171" s="1389"/>
      <c r="X171" s="1389"/>
    </row>
    <row r="172" spans="14:24" s="1109" customFormat="1" ht="13.9" customHeight="1" x14ac:dyDescent="0.2">
      <c r="N172" s="1389"/>
      <c r="O172" s="1389"/>
      <c r="P172" s="1389"/>
      <c r="Q172" s="1389"/>
      <c r="R172" s="1389"/>
      <c r="S172" s="1389"/>
      <c r="T172" s="1389"/>
      <c r="U172" s="1389"/>
      <c r="V172" s="1389"/>
      <c r="W172" s="1389"/>
      <c r="X172" s="1389"/>
    </row>
    <row r="173" spans="14:24" s="1109" customFormat="1" ht="13.9" customHeight="1" x14ac:dyDescent="0.2">
      <c r="N173" s="1389"/>
      <c r="O173" s="1389"/>
      <c r="P173" s="1389"/>
      <c r="Q173" s="1389"/>
      <c r="R173" s="1389"/>
      <c r="S173" s="1389"/>
      <c r="T173" s="1389"/>
      <c r="U173" s="1389"/>
      <c r="V173" s="1389"/>
      <c r="W173" s="1389"/>
      <c r="X173" s="1389"/>
    </row>
    <row r="174" spans="14:24" s="1109" customFormat="1" ht="13.9" customHeight="1" x14ac:dyDescent="0.2">
      <c r="N174" s="1389"/>
      <c r="O174" s="1389"/>
      <c r="P174" s="1389"/>
      <c r="Q174" s="1389"/>
      <c r="R174" s="1389"/>
      <c r="S174" s="1389"/>
      <c r="T174" s="1389"/>
      <c r="U174" s="1389"/>
      <c r="V174" s="1389"/>
      <c r="W174" s="1389"/>
      <c r="X174" s="1389"/>
    </row>
    <row r="175" spans="14:24" s="1109" customFormat="1" ht="13.9" customHeight="1" x14ac:dyDescent="0.2">
      <c r="N175" s="1389"/>
      <c r="O175" s="1389"/>
      <c r="P175" s="1389"/>
      <c r="Q175" s="1389"/>
      <c r="R175" s="1389"/>
      <c r="S175" s="1389"/>
      <c r="T175" s="1389"/>
      <c r="U175" s="1389"/>
      <c r="V175" s="1389"/>
      <c r="W175" s="1389"/>
      <c r="X175" s="1389"/>
    </row>
    <row r="176" spans="14:24" s="1109" customFormat="1" ht="13.9" customHeight="1" x14ac:dyDescent="0.2">
      <c r="N176" s="1389"/>
      <c r="O176" s="1389"/>
      <c r="P176" s="1389"/>
      <c r="Q176" s="1389"/>
      <c r="R176" s="1389"/>
      <c r="S176" s="1389"/>
      <c r="T176" s="1389"/>
      <c r="U176" s="1389"/>
      <c r="V176" s="1389"/>
      <c r="W176" s="1389"/>
      <c r="X176" s="1389"/>
    </row>
    <row r="177" spans="14:24" s="1109" customFormat="1" ht="13.9" customHeight="1" x14ac:dyDescent="0.2">
      <c r="N177" s="1389"/>
      <c r="O177" s="1389"/>
      <c r="P177" s="1389"/>
      <c r="Q177" s="1389"/>
      <c r="R177" s="1389"/>
      <c r="S177" s="1389"/>
      <c r="T177" s="1389"/>
      <c r="U177" s="1389"/>
      <c r="V177" s="1389"/>
      <c r="W177" s="1389"/>
      <c r="X177" s="1389"/>
    </row>
    <row r="178" spans="14:24" s="1109" customFormat="1" ht="13.9" customHeight="1" x14ac:dyDescent="0.2">
      <c r="N178" s="1389"/>
      <c r="O178" s="1389"/>
      <c r="P178" s="1389"/>
      <c r="Q178" s="1389"/>
      <c r="R178" s="1389"/>
      <c r="S178" s="1389"/>
      <c r="T178" s="1389"/>
      <c r="U178" s="1389"/>
      <c r="V178" s="1389"/>
      <c r="W178" s="1389"/>
      <c r="X178" s="1389"/>
    </row>
    <row r="179" spans="14:24" s="1109" customFormat="1" ht="13.9" customHeight="1" x14ac:dyDescent="0.2">
      <c r="N179" s="1389"/>
      <c r="O179" s="1389"/>
      <c r="P179" s="1389"/>
      <c r="Q179" s="1389"/>
      <c r="R179" s="1389"/>
      <c r="S179" s="1389"/>
      <c r="T179" s="1389"/>
      <c r="U179" s="1389"/>
      <c r="V179" s="1389"/>
      <c r="W179" s="1389"/>
      <c r="X179" s="1389"/>
    </row>
    <row r="180" spans="14:24" s="1109" customFormat="1" ht="13.9" customHeight="1" x14ac:dyDescent="0.2">
      <c r="N180" s="1389"/>
      <c r="O180" s="1389"/>
      <c r="P180" s="1389"/>
      <c r="Q180" s="1389"/>
      <c r="R180" s="1389"/>
      <c r="S180" s="1389"/>
      <c r="T180" s="1389"/>
      <c r="U180" s="1389"/>
      <c r="V180" s="1389"/>
      <c r="W180" s="1389"/>
      <c r="X180" s="1389"/>
    </row>
    <row r="181" spans="14:24" s="1109" customFormat="1" ht="13.9" customHeight="1" x14ac:dyDescent="0.2">
      <c r="N181" s="1389"/>
      <c r="O181" s="1389"/>
      <c r="P181" s="1389"/>
      <c r="Q181" s="1389"/>
      <c r="R181" s="1389"/>
      <c r="S181" s="1389"/>
      <c r="T181" s="1389"/>
      <c r="U181" s="1389"/>
      <c r="V181" s="1389"/>
      <c r="W181" s="1389"/>
      <c r="X181" s="1389"/>
    </row>
    <row r="182" spans="14:24" s="1109" customFormat="1" ht="13.9" customHeight="1" x14ac:dyDescent="0.2">
      <c r="N182" s="1389"/>
      <c r="O182" s="1389"/>
      <c r="P182" s="1389"/>
      <c r="Q182" s="1389"/>
      <c r="R182" s="1389"/>
      <c r="S182" s="1389"/>
      <c r="T182" s="1389"/>
      <c r="U182" s="1389"/>
      <c r="V182" s="1389"/>
      <c r="W182" s="1389"/>
      <c r="X182" s="1389"/>
    </row>
    <row r="183" spans="14:24" s="1109" customFormat="1" ht="13.9" customHeight="1" x14ac:dyDescent="0.2">
      <c r="N183" s="1389"/>
      <c r="O183" s="1389"/>
      <c r="P183" s="1389"/>
      <c r="Q183" s="1389"/>
      <c r="R183" s="1389"/>
      <c r="S183" s="1389"/>
      <c r="T183" s="1389"/>
      <c r="U183" s="1389"/>
      <c r="V183" s="1389"/>
      <c r="W183" s="1389"/>
      <c r="X183" s="1389"/>
    </row>
    <row r="184" spans="14:24" s="1109" customFormat="1" ht="13.9" customHeight="1" x14ac:dyDescent="0.2">
      <c r="N184" s="1389"/>
      <c r="O184" s="1389"/>
      <c r="P184" s="1389"/>
      <c r="Q184" s="1389"/>
      <c r="R184" s="1389"/>
      <c r="S184" s="1389"/>
      <c r="T184" s="1389"/>
      <c r="U184" s="1389"/>
      <c r="V184" s="1389"/>
      <c r="W184" s="1389"/>
      <c r="X184" s="1389"/>
    </row>
    <row r="185" spans="14:24" s="1109" customFormat="1" ht="13.9" customHeight="1" x14ac:dyDescent="0.2">
      <c r="N185" s="1389"/>
      <c r="O185" s="1389"/>
      <c r="P185" s="1389"/>
      <c r="Q185" s="1389"/>
      <c r="R185" s="1389"/>
      <c r="S185" s="1389"/>
      <c r="T185" s="1389"/>
      <c r="U185" s="1389"/>
      <c r="V185" s="1389"/>
      <c r="W185" s="1389"/>
      <c r="X185" s="1389"/>
    </row>
    <row r="186" spans="14:24" s="1109" customFormat="1" ht="13.9" customHeight="1" x14ac:dyDescent="0.2">
      <c r="N186" s="1389"/>
      <c r="O186" s="1389"/>
      <c r="P186" s="1389"/>
      <c r="Q186" s="1389"/>
      <c r="R186" s="1389"/>
      <c r="S186" s="1389"/>
      <c r="T186" s="1389"/>
      <c r="U186" s="1389"/>
      <c r="V186" s="1389"/>
      <c r="W186" s="1389"/>
      <c r="X186" s="1389"/>
    </row>
    <row r="187" spans="14:24" s="1109" customFormat="1" ht="13.9" customHeight="1" x14ac:dyDescent="0.2">
      <c r="N187" s="1389"/>
      <c r="O187" s="1389"/>
      <c r="P187" s="1389"/>
      <c r="Q187" s="1389"/>
      <c r="R187" s="1389"/>
      <c r="S187" s="1389"/>
      <c r="T187" s="1389"/>
      <c r="U187" s="1389"/>
      <c r="V187" s="1389"/>
      <c r="W187" s="1389"/>
      <c r="X187" s="1389"/>
    </row>
    <row r="188" spans="14:24" s="1109" customFormat="1" ht="13.9" customHeight="1" x14ac:dyDescent="0.2">
      <c r="N188" s="1389"/>
      <c r="O188" s="1389"/>
      <c r="P188" s="1389"/>
      <c r="Q188" s="1389"/>
      <c r="R188" s="1389"/>
      <c r="S188" s="1389"/>
      <c r="T188" s="1389"/>
      <c r="U188" s="1389"/>
      <c r="V188" s="1389"/>
      <c r="W188" s="1389"/>
      <c r="X188" s="1389"/>
    </row>
    <row r="189" spans="14:24" s="1109" customFormat="1" ht="13.9" customHeight="1" x14ac:dyDescent="0.2">
      <c r="N189" s="1389"/>
      <c r="O189" s="1389"/>
      <c r="P189" s="1389"/>
      <c r="Q189" s="1389"/>
      <c r="R189" s="1389"/>
      <c r="S189" s="1389"/>
      <c r="T189" s="1389"/>
      <c r="U189" s="1389"/>
      <c r="V189" s="1389"/>
      <c r="W189" s="1389"/>
      <c r="X189" s="1389"/>
    </row>
    <row r="190" spans="14:24" s="1109" customFormat="1" ht="13.9" customHeight="1" x14ac:dyDescent="0.2">
      <c r="N190" s="1389"/>
      <c r="O190" s="1389"/>
      <c r="P190" s="1389"/>
      <c r="Q190" s="1389"/>
      <c r="R190" s="1389"/>
      <c r="S190" s="1389"/>
      <c r="T190" s="1389"/>
      <c r="U190" s="1389"/>
      <c r="V190" s="1389"/>
      <c r="W190" s="1389"/>
      <c r="X190" s="1389"/>
    </row>
    <row r="191" spans="14:24" s="1109" customFormat="1" ht="13.9" customHeight="1" x14ac:dyDescent="0.2">
      <c r="N191" s="1389"/>
      <c r="O191" s="1389"/>
      <c r="P191" s="1389"/>
      <c r="Q191" s="1389"/>
      <c r="R191" s="1389"/>
      <c r="S191" s="1389"/>
      <c r="T191" s="1389"/>
      <c r="U191" s="1389"/>
      <c r="V191" s="1389"/>
      <c r="W191" s="1389"/>
      <c r="X191" s="1389"/>
    </row>
    <row r="192" spans="14:24" s="1109" customFormat="1" ht="13.9" customHeight="1" x14ac:dyDescent="0.2">
      <c r="N192" s="1389"/>
      <c r="O192" s="1389"/>
      <c r="P192" s="1389"/>
      <c r="Q192" s="1389"/>
      <c r="R192" s="1389"/>
      <c r="S192" s="1389"/>
      <c r="T192" s="1389"/>
      <c r="U192" s="1389"/>
      <c r="V192" s="1389"/>
      <c r="W192" s="1389"/>
      <c r="X192" s="1389"/>
    </row>
    <row r="193" spans="14:24" s="1109" customFormat="1" ht="13.9" customHeight="1" x14ac:dyDescent="0.2">
      <c r="N193" s="1389"/>
      <c r="O193" s="1389"/>
      <c r="P193" s="1389"/>
      <c r="Q193" s="1389"/>
      <c r="R193" s="1389"/>
      <c r="S193" s="1389"/>
      <c r="T193" s="1389"/>
      <c r="U193" s="1389"/>
      <c r="V193" s="1389"/>
      <c r="W193" s="1389"/>
      <c r="X193" s="1389"/>
    </row>
    <row r="194" spans="14:24" s="1109" customFormat="1" ht="13.9" customHeight="1" x14ac:dyDescent="0.2">
      <c r="N194" s="1389"/>
      <c r="O194" s="1389"/>
      <c r="P194" s="1389"/>
      <c r="Q194" s="1389"/>
      <c r="R194" s="1389"/>
      <c r="S194" s="1389"/>
      <c r="T194" s="1389"/>
      <c r="U194" s="1389"/>
      <c r="V194" s="1389"/>
      <c r="W194" s="1389"/>
      <c r="X194" s="1389"/>
    </row>
    <row r="195" spans="14:24" s="1109" customFormat="1" ht="13.9" customHeight="1" x14ac:dyDescent="0.2">
      <c r="N195" s="1389"/>
      <c r="O195" s="1389"/>
      <c r="P195" s="1389"/>
      <c r="Q195" s="1389"/>
      <c r="R195" s="1389"/>
      <c r="S195" s="1389"/>
      <c r="T195" s="1389"/>
      <c r="U195" s="1389"/>
      <c r="V195" s="1389"/>
      <c r="W195" s="1389"/>
      <c r="X195" s="1389"/>
    </row>
    <row r="196" spans="14:24" s="254" customFormat="1" ht="13.9" customHeight="1" x14ac:dyDescent="0.2">
      <c r="N196" s="1389"/>
      <c r="O196" s="1389"/>
      <c r="P196" s="1389"/>
      <c r="Q196" s="1389"/>
      <c r="R196" s="1389"/>
      <c r="S196" s="1389"/>
      <c r="T196" s="1389"/>
      <c r="U196" s="1389"/>
      <c r="V196" s="1389"/>
      <c r="W196" s="1389"/>
      <c r="X196" s="1389"/>
    </row>
    <row r="197" spans="14:24" s="254" customFormat="1" ht="13.9" customHeight="1" x14ac:dyDescent="0.2">
      <c r="N197" s="1389"/>
      <c r="O197" s="1389"/>
      <c r="P197" s="1389"/>
      <c r="Q197" s="1389"/>
      <c r="R197" s="1389"/>
      <c r="S197" s="1389"/>
      <c r="T197" s="1389"/>
      <c r="U197" s="1389"/>
      <c r="V197" s="1389"/>
      <c r="W197" s="1389"/>
      <c r="X197" s="1389"/>
    </row>
    <row r="198" spans="14:24" s="254" customFormat="1" ht="13.9" customHeight="1" x14ac:dyDescent="0.2">
      <c r="N198" s="1389"/>
      <c r="O198" s="1389"/>
      <c r="P198" s="1389"/>
      <c r="Q198" s="1389"/>
      <c r="R198" s="1389"/>
      <c r="S198" s="1389"/>
      <c r="T198" s="1389"/>
      <c r="U198" s="1389"/>
      <c r="V198" s="1389"/>
      <c r="W198" s="1389"/>
      <c r="X198" s="1389"/>
    </row>
    <row r="199" spans="14:24" s="254" customFormat="1" ht="13.9" customHeight="1" x14ac:dyDescent="0.2">
      <c r="N199" s="1389"/>
      <c r="O199" s="1389"/>
      <c r="P199" s="1389"/>
      <c r="Q199" s="1389"/>
      <c r="R199" s="1389"/>
      <c r="S199" s="1389"/>
      <c r="T199" s="1389"/>
      <c r="U199" s="1389"/>
      <c r="V199" s="1389"/>
      <c r="W199" s="1389"/>
      <c r="X199" s="1389"/>
    </row>
    <row r="200" spans="14:24" s="254" customFormat="1" ht="13.9" customHeight="1" x14ac:dyDescent="0.2">
      <c r="N200" s="1389"/>
      <c r="O200" s="1389"/>
      <c r="P200" s="1389"/>
      <c r="Q200" s="1389"/>
      <c r="R200" s="1389"/>
      <c r="S200" s="1389"/>
      <c r="T200" s="1389"/>
      <c r="U200" s="1389"/>
      <c r="V200" s="1389"/>
      <c r="W200" s="1389"/>
      <c r="X200" s="1389"/>
    </row>
    <row r="201" spans="14:24" s="254" customFormat="1" ht="13.9" customHeight="1" x14ac:dyDescent="0.2">
      <c r="N201" s="1389"/>
      <c r="O201" s="1389"/>
      <c r="P201" s="1389"/>
      <c r="Q201" s="1389"/>
      <c r="R201" s="1389"/>
      <c r="S201" s="1389"/>
      <c r="T201" s="1389"/>
      <c r="U201" s="1389"/>
      <c r="V201" s="1389"/>
      <c r="W201" s="1389"/>
      <c r="X201" s="1389"/>
    </row>
    <row r="202" spans="14:24" s="254" customFormat="1" ht="13.9" customHeight="1" x14ac:dyDescent="0.2">
      <c r="N202" s="1389"/>
      <c r="O202" s="1389"/>
      <c r="P202" s="1389"/>
      <c r="Q202" s="1389"/>
      <c r="R202" s="1389"/>
      <c r="S202" s="1389"/>
      <c r="T202" s="1389"/>
      <c r="U202" s="1389"/>
      <c r="V202" s="1389"/>
      <c r="W202" s="1389"/>
      <c r="X202" s="1389"/>
    </row>
    <row r="203" spans="14:24" s="254" customFormat="1" ht="13.9" customHeight="1" x14ac:dyDescent="0.2">
      <c r="N203" s="1389"/>
      <c r="O203" s="1389"/>
      <c r="P203" s="1389"/>
      <c r="Q203" s="1389"/>
      <c r="R203" s="1389"/>
      <c r="S203" s="1389"/>
      <c r="T203" s="1389"/>
      <c r="U203" s="1389"/>
      <c r="V203" s="1389"/>
      <c r="W203" s="1389"/>
      <c r="X203" s="1389"/>
    </row>
    <row r="204" spans="14:24" s="254" customFormat="1" ht="13.9" customHeight="1" x14ac:dyDescent="0.2">
      <c r="N204" s="1389"/>
      <c r="O204" s="1389"/>
      <c r="P204" s="1389"/>
      <c r="Q204" s="1389"/>
      <c r="R204" s="1389"/>
      <c r="S204" s="1389"/>
      <c r="T204" s="1389"/>
      <c r="U204" s="1389"/>
      <c r="V204" s="1389"/>
      <c r="W204" s="1389"/>
      <c r="X204" s="1389"/>
    </row>
    <row r="205" spans="14:24" s="254" customFormat="1" ht="13.9" customHeight="1" x14ac:dyDescent="0.2">
      <c r="N205" s="1389"/>
      <c r="O205" s="1389"/>
      <c r="P205" s="1389"/>
      <c r="Q205" s="1389"/>
      <c r="R205" s="1389"/>
      <c r="S205" s="1389"/>
      <c r="T205" s="1389"/>
      <c r="U205" s="1389"/>
      <c r="V205" s="1389"/>
      <c r="W205" s="1389"/>
      <c r="X205" s="1389"/>
    </row>
    <row r="206" spans="14:24" s="254" customFormat="1" ht="13.9" customHeight="1" x14ac:dyDescent="0.2">
      <c r="N206" s="1389"/>
      <c r="O206" s="1389"/>
      <c r="P206" s="1389"/>
      <c r="Q206" s="1389"/>
      <c r="R206" s="1389"/>
      <c r="S206" s="1389"/>
      <c r="T206" s="1389"/>
      <c r="U206" s="1389"/>
      <c r="V206" s="1389"/>
      <c r="W206" s="1389"/>
      <c r="X206" s="1389"/>
    </row>
    <row r="207" spans="14:24" s="254" customFormat="1" ht="13.9" customHeight="1" x14ac:dyDescent="0.2">
      <c r="N207" s="1389"/>
      <c r="O207" s="1389"/>
      <c r="P207" s="1389"/>
      <c r="Q207" s="1389"/>
      <c r="R207" s="1389"/>
      <c r="S207" s="1389"/>
      <c r="T207" s="1389"/>
      <c r="U207" s="1389"/>
      <c r="V207" s="1389"/>
      <c r="W207" s="1389"/>
      <c r="X207" s="1389"/>
    </row>
    <row r="208" spans="14:24" s="254" customFormat="1" ht="13.9" customHeight="1" x14ac:dyDescent="0.2">
      <c r="N208" s="1389"/>
      <c r="O208" s="1389"/>
      <c r="P208" s="1389"/>
      <c r="Q208" s="1389"/>
      <c r="R208" s="1389"/>
      <c r="S208" s="1389"/>
      <c r="T208" s="1389"/>
      <c r="U208" s="1389"/>
      <c r="V208" s="1389"/>
      <c r="W208" s="1389"/>
      <c r="X208" s="1389"/>
    </row>
    <row r="209" spans="14:24" s="254" customFormat="1" ht="13.9" customHeight="1" x14ac:dyDescent="0.2">
      <c r="N209" s="1389"/>
      <c r="O209" s="1389"/>
      <c r="P209" s="1389"/>
      <c r="Q209" s="1389"/>
      <c r="R209" s="1389"/>
      <c r="S209" s="1389"/>
      <c r="T209" s="1389"/>
      <c r="U209" s="1389"/>
      <c r="V209" s="1389"/>
      <c r="W209" s="1389"/>
      <c r="X209" s="1389"/>
    </row>
    <row r="210" spans="14:24" s="254" customFormat="1" ht="13.9" customHeight="1" x14ac:dyDescent="0.2">
      <c r="N210" s="1389"/>
      <c r="O210" s="1389"/>
      <c r="P210" s="1389"/>
      <c r="Q210" s="1389"/>
      <c r="R210" s="1389"/>
      <c r="S210" s="1389"/>
      <c r="T210" s="1389"/>
      <c r="U210" s="1389"/>
      <c r="V210" s="1389"/>
      <c r="W210" s="1389"/>
      <c r="X210" s="1389"/>
    </row>
    <row r="211" spans="14:24" s="254" customFormat="1" ht="13.9" customHeight="1" x14ac:dyDescent="0.2">
      <c r="N211" s="1389"/>
      <c r="O211" s="1389"/>
      <c r="P211" s="1389"/>
      <c r="Q211" s="1389"/>
      <c r="R211" s="1389"/>
      <c r="S211" s="1389"/>
      <c r="T211" s="1389"/>
      <c r="U211" s="1389"/>
      <c r="V211" s="1389"/>
      <c r="W211" s="1389"/>
      <c r="X211" s="1389"/>
    </row>
    <row r="212" spans="14:24" s="254" customFormat="1" ht="13.9" customHeight="1" x14ac:dyDescent="0.2">
      <c r="N212" s="1389"/>
      <c r="O212" s="1389"/>
      <c r="P212" s="1389"/>
      <c r="Q212" s="1389"/>
      <c r="R212" s="1389"/>
      <c r="S212" s="1389"/>
      <c r="T212" s="1389"/>
      <c r="U212" s="1389"/>
      <c r="V212" s="1389"/>
      <c r="W212" s="1389"/>
      <c r="X212" s="1389"/>
    </row>
    <row r="213" spans="14:24" s="254" customFormat="1" ht="13.9" customHeight="1" x14ac:dyDescent="0.2">
      <c r="N213" s="1389"/>
      <c r="O213" s="1389"/>
      <c r="P213" s="1389"/>
      <c r="Q213" s="1389"/>
      <c r="R213" s="1389"/>
      <c r="S213" s="1389"/>
      <c r="T213" s="1389"/>
      <c r="U213" s="1389"/>
      <c r="V213" s="1389"/>
      <c r="W213" s="1389"/>
      <c r="X213" s="1389"/>
    </row>
    <row r="214" spans="14:24" s="254" customFormat="1" ht="13.9" customHeight="1" x14ac:dyDescent="0.2">
      <c r="N214" s="1389"/>
      <c r="O214" s="1389"/>
      <c r="P214" s="1389"/>
      <c r="Q214" s="1389"/>
      <c r="R214" s="1389"/>
      <c r="S214" s="1389"/>
      <c r="T214" s="1389"/>
      <c r="U214" s="1389"/>
      <c r="V214" s="1389"/>
      <c r="W214" s="1389"/>
      <c r="X214" s="1389"/>
    </row>
    <row r="215" spans="14:24" s="254" customFormat="1" ht="13.9" customHeight="1" x14ac:dyDescent="0.2">
      <c r="N215" s="1389"/>
      <c r="O215" s="1389"/>
      <c r="P215" s="1389"/>
      <c r="Q215" s="1389"/>
      <c r="R215" s="1389"/>
      <c r="S215" s="1389"/>
      <c r="T215" s="1389"/>
      <c r="U215" s="1389"/>
      <c r="V215" s="1389"/>
      <c r="W215" s="1389"/>
      <c r="X215" s="1389"/>
    </row>
    <row r="216" spans="14:24" s="254" customFormat="1" ht="13.9" customHeight="1" x14ac:dyDescent="0.2">
      <c r="N216" s="1389"/>
      <c r="O216" s="1389"/>
      <c r="P216" s="1389"/>
      <c r="Q216" s="1389"/>
      <c r="R216" s="1389"/>
      <c r="S216" s="1389"/>
      <c r="T216" s="1389"/>
      <c r="U216" s="1389"/>
      <c r="V216" s="1389"/>
      <c r="W216" s="1389"/>
      <c r="X216" s="1389"/>
    </row>
    <row r="217" spans="14:24" s="254" customFormat="1" ht="13.9" customHeight="1" x14ac:dyDescent="0.2">
      <c r="N217" s="1389"/>
      <c r="O217" s="1389"/>
      <c r="P217" s="1389"/>
      <c r="Q217" s="1389"/>
      <c r="R217" s="1389"/>
      <c r="S217" s="1389"/>
      <c r="T217" s="1389"/>
      <c r="U217" s="1389"/>
      <c r="V217" s="1389"/>
      <c r="W217" s="1389"/>
      <c r="X217" s="1389"/>
    </row>
    <row r="218" spans="14:24" s="254" customFormat="1" ht="13.9" customHeight="1" x14ac:dyDescent="0.2">
      <c r="N218" s="1389"/>
      <c r="O218" s="1389"/>
      <c r="P218" s="1389"/>
      <c r="Q218" s="1389"/>
      <c r="R218" s="1389"/>
      <c r="S218" s="1389"/>
      <c r="T218" s="1389"/>
      <c r="U218" s="1389"/>
      <c r="V218" s="1389"/>
      <c r="W218" s="1389"/>
      <c r="X218" s="1389"/>
    </row>
    <row r="219" spans="14:24" s="254" customFormat="1" ht="13.9" customHeight="1" x14ac:dyDescent="0.2">
      <c r="N219" s="1389"/>
      <c r="O219" s="1389"/>
      <c r="P219" s="1389"/>
      <c r="Q219" s="1389"/>
      <c r="R219" s="1389"/>
      <c r="S219" s="1389"/>
      <c r="T219" s="1389"/>
      <c r="U219" s="1389"/>
      <c r="V219" s="1389"/>
      <c r="W219" s="1389"/>
      <c r="X219" s="1389"/>
    </row>
    <row r="220" spans="14:24" s="254" customFormat="1" ht="13.9" customHeight="1" x14ac:dyDescent="0.2">
      <c r="N220" s="1389"/>
      <c r="O220" s="1389"/>
      <c r="P220" s="1389"/>
      <c r="Q220" s="1389"/>
      <c r="R220" s="1389"/>
      <c r="S220" s="1389"/>
      <c r="T220" s="1389"/>
      <c r="U220" s="1389"/>
      <c r="V220" s="1389"/>
      <c r="W220" s="1389"/>
      <c r="X220" s="1389"/>
    </row>
    <row r="221" spans="14:24" s="254" customFormat="1" ht="13.9" customHeight="1" x14ac:dyDescent="0.2">
      <c r="N221" s="1389"/>
      <c r="O221" s="1389"/>
      <c r="P221" s="1389"/>
      <c r="Q221" s="1389"/>
      <c r="R221" s="1389"/>
      <c r="S221" s="1389"/>
      <c r="T221" s="1389"/>
      <c r="U221" s="1389"/>
      <c r="V221" s="1389"/>
      <c r="W221" s="1389"/>
      <c r="X221" s="1389"/>
    </row>
    <row r="222" spans="14:24" s="254" customFormat="1" ht="13.9" customHeight="1" x14ac:dyDescent="0.2">
      <c r="N222" s="1389"/>
      <c r="O222" s="1389"/>
      <c r="P222" s="1389"/>
      <c r="Q222" s="1389"/>
      <c r="R222" s="1389"/>
      <c r="S222" s="1389"/>
      <c r="T222" s="1389"/>
      <c r="U222" s="1389"/>
      <c r="V222" s="1389"/>
      <c r="W222" s="1389"/>
      <c r="X222" s="1389"/>
    </row>
    <row r="223" spans="14:24" s="254" customFormat="1" ht="13.9" customHeight="1" x14ac:dyDescent="0.2">
      <c r="N223" s="1389"/>
      <c r="O223" s="1389"/>
      <c r="P223" s="1389"/>
      <c r="Q223" s="1389"/>
      <c r="R223" s="1389"/>
      <c r="S223" s="1389"/>
      <c r="T223" s="1389"/>
      <c r="U223" s="1389"/>
      <c r="V223" s="1389"/>
      <c r="W223" s="1389"/>
      <c r="X223" s="1389"/>
    </row>
    <row r="224" spans="14:24" s="254" customFormat="1" ht="13.9" customHeight="1" x14ac:dyDescent="0.2">
      <c r="N224" s="1389"/>
      <c r="O224" s="1389"/>
      <c r="P224" s="1389"/>
      <c r="Q224" s="1389"/>
      <c r="R224" s="1389"/>
      <c r="S224" s="1389"/>
      <c r="T224" s="1389"/>
      <c r="U224" s="1389"/>
      <c r="V224" s="1389"/>
      <c r="W224" s="1389"/>
      <c r="X224" s="1389"/>
    </row>
    <row r="225" spans="3:24" s="254" customFormat="1" ht="13.9" customHeight="1" x14ac:dyDescent="0.2">
      <c r="N225" s="1389"/>
      <c r="O225" s="1389"/>
      <c r="P225" s="1389"/>
      <c r="Q225" s="1389"/>
      <c r="R225" s="1389"/>
      <c r="S225" s="1389"/>
      <c r="T225" s="1389"/>
      <c r="U225" s="1389"/>
      <c r="V225" s="1389"/>
      <c r="W225" s="1389"/>
      <c r="X225" s="1389"/>
    </row>
    <row r="226" spans="3:24" s="254" customFormat="1" ht="13.9" customHeight="1" x14ac:dyDescent="0.2">
      <c r="N226" s="1389"/>
      <c r="O226" s="1389"/>
      <c r="P226" s="1389"/>
      <c r="Q226" s="1389"/>
      <c r="R226" s="1389"/>
      <c r="S226" s="1389"/>
      <c r="T226" s="1389"/>
      <c r="U226" s="1389"/>
      <c r="V226" s="1389"/>
      <c r="W226" s="1389"/>
      <c r="X226" s="1389"/>
    </row>
    <row r="227" spans="3:24" s="254" customFormat="1" ht="13.9" customHeight="1" x14ac:dyDescent="0.2">
      <c r="N227" s="1389"/>
      <c r="O227" s="1389"/>
      <c r="P227" s="1389"/>
      <c r="Q227" s="1389"/>
      <c r="R227" s="1389"/>
      <c r="S227" s="1389"/>
      <c r="T227" s="1389"/>
      <c r="U227" s="1389"/>
      <c r="V227" s="1389"/>
      <c r="W227" s="1389"/>
      <c r="X227" s="1389"/>
    </row>
    <row r="228" spans="3:24" s="254" customFormat="1" ht="13.9" customHeight="1" x14ac:dyDescent="0.2">
      <c r="C228" s="1005" t="s">
        <v>1629</v>
      </c>
      <c r="D228" s="391"/>
      <c r="E228" s="391"/>
      <c r="F228" s="1006" t="s">
        <v>1630</v>
      </c>
      <c r="G228" s="994" t="s">
        <v>1631</v>
      </c>
      <c r="H228" s="994" t="s">
        <v>1619</v>
      </c>
      <c r="I228" s="995" t="s">
        <v>1620</v>
      </c>
      <c r="N228" s="1389"/>
      <c r="O228" s="1389"/>
      <c r="P228" s="1389"/>
      <c r="Q228" s="1389"/>
      <c r="R228" s="1389"/>
      <c r="S228" s="1389"/>
      <c r="T228" s="1389"/>
      <c r="U228" s="1389"/>
      <c r="V228" s="1389"/>
      <c r="W228" s="1389"/>
      <c r="X228" s="1389"/>
    </row>
    <row r="229" spans="3:24" s="254" customFormat="1" ht="13.9" customHeight="1" x14ac:dyDescent="0.2">
      <c r="C229" s="1879" t="s">
        <v>1632</v>
      </c>
      <c r="D229" s="1879"/>
      <c r="E229" s="1879"/>
      <c r="F229" s="1007">
        <v>0</v>
      </c>
      <c r="G229" s="1008">
        <v>0</v>
      </c>
      <c r="H229" s="996">
        <v>0</v>
      </c>
      <c r="I229" s="997" t="s">
        <v>1621</v>
      </c>
      <c r="N229" s="1389"/>
      <c r="O229" s="1389"/>
      <c r="P229" s="1389"/>
      <c r="Q229" s="1389"/>
      <c r="R229" s="1389"/>
      <c r="S229" s="1389"/>
      <c r="T229" s="1389"/>
      <c r="U229" s="1389"/>
      <c r="V229" s="1389"/>
      <c r="W229" s="1389"/>
      <c r="X229" s="1389"/>
    </row>
    <row r="230" spans="3:24" s="254" customFormat="1" ht="13.9" customHeight="1" x14ac:dyDescent="0.2">
      <c r="C230" s="1879" t="s">
        <v>1633</v>
      </c>
      <c r="D230" s="1879"/>
      <c r="E230" s="1879"/>
      <c r="F230" s="1007">
        <v>0.01</v>
      </c>
      <c r="G230" s="1008">
        <v>0.99</v>
      </c>
      <c r="H230" s="996" t="s">
        <v>1622</v>
      </c>
      <c r="I230" s="998" t="s">
        <v>1623</v>
      </c>
      <c r="N230" s="1389"/>
      <c r="O230" s="1389"/>
      <c r="P230" s="1389"/>
      <c r="Q230" s="1389"/>
      <c r="R230" s="1389"/>
      <c r="S230" s="1389"/>
      <c r="T230" s="1389"/>
      <c r="U230" s="1389"/>
      <c r="V230" s="1389"/>
      <c r="W230" s="1389"/>
      <c r="X230" s="1389"/>
    </row>
    <row r="231" spans="3:24" s="254" customFormat="1" ht="13.9" customHeight="1" x14ac:dyDescent="0.2">
      <c r="C231" s="1880" t="s">
        <v>1634</v>
      </c>
      <c r="D231" s="1880"/>
      <c r="E231" s="1880"/>
      <c r="F231" s="1009">
        <v>0.99999000000000005</v>
      </c>
      <c r="G231" s="1010">
        <v>1.99</v>
      </c>
      <c r="H231" s="999" t="s">
        <v>1624</v>
      </c>
      <c r="I231" s="1000" t="s">
        <v>1623</v>
      </c>
      <c r="N231" s="1389"/>
      <c r="O231" s="1389"/>
      <c r="P231" s="1389"/>
      <c r="Q231" s="1389"/>
      <c r="R231" s="1389"/>
      <c r="S231" s="1389"/>
      <c r="T231" s="1389"/>
      <c r="U231" s="1389"/>
      <c r="V231" s="1389"/>
      <c r="W231" s="1389"/>
      <c r="X231" s="1389"/>
    </row>
    <row r="232" spans="3:24" s="254" customFormat="1" ht="13.9" customHeight="1" x14ac:dyDescent="0.2">
      <c r="C232" s="1881" t="s">
        <v>1635</v>
      </c>
      <c r="D232" s="1881"/>
      <c r="E232" s="1881"/>
      <c r="F232" s="1011">
        <v>1.9999998999999999</v>
      </c>
      <c r="G232" s="1001">
        <v>2.4900000000000002</v>
      </c>
      <c r="H232" s="1001" t="s">
        <v>1625</v>
      </c>
      <c r="I232" s="1002" t="s">
        <v>1626</v>
      </c>
      <c r="N232" s="1389"/>
      <c r="O232" s="1389"/>
      <c r="P232" s="1389"/>
      <c r="Q232" s="1389"/>
      <c r="R232" s="1389"/>
      <c r="S232" s="1389"/>
      <c r="T232" s="1389"/>
      <c r="U232" s="1389"/>
      <c r="V232" s="1389"/>
      <c r="W232" s="1389"/>
      <c r="X232" s="1389"/>
    </row>
    <row r="233" spans="3:24" s="254" customFormat="1" ht="13.9" customHeight="1" x14ac:dyDescent="0.2">
      <c r="C233" s="1882" t="s">
        <v>1636</v>
      </c>
      <c r="D233" s="1882"/>
      <c r="E233" s="1882"/>
      <c r="F233" s="1012">
        <v>2.4999989999999999</v>
      </c>
      <c r="G233" s="1003">
        <v>3</v>
      </c>
      <c r="H233" s="1003" t="s">
        <v>1627</v>
      </c>
      <c r="I233" s="1004" t="s">
        <v>1628</v>
      </c>
      <c r="N233" s="1389"/>
      <c r="O233" s="1389"/>
      <c r="P233" s="1389"/>
      <c r="Q233" s="1389"/>
      <c r="R233" s="1389"/>
      <c r="S233" s="1389"/>
      <c r="T233" s="1389"/>
      <c r="U233" s="1389"/>
      <c r="V233" s="1389"/>
      <c r="W233" s="1389"/>
      <c r="X233" s="1389"/>
    </row>
    <row r="234" spans="3:24" s="254" customFormat="1" ht="13.9" customHeight="1" x14ac:dyDescent="0.2">
      <c r="N234" s="1389"/>
      <c r="O234" s="1389"/>
      <c r="P234" s="1389"/>
      <c r="Q234" s="1389"/>
      <c r="R234" s="1389"/>
      <c r="S234" s="1389"/>
      <c r="T234" s="1389"/>
      <c r="U234" s="1389"/>
      <c r="V234" s="1389"/>
      <c r="W234" s="1389"/>
      <c r="X234" s="1389"/>
    </row>
    <row r="235" spans="3:24" s="254" customFormat="1" ht="13.9" customHeight="1" x14ac:dyDescent="0.2">
      <c r="N235" s="1389"/>
      <c r="O235" s="1389"/>
      <c r="P235" s="1389"/>
      <c r="Q235" s="1389"/>
      <c r="R235" s="1389"/>
      <c r="S235" s="1389"/>
      <c r="T235" s="1389"/>
      <c r="U235" s="1389"/>
      <c r="V235" s="1389"/>
      <c r="W235" s="1389"/>
      <c r="X235" s="1389"/>
    </row>
    <row r="236" spans="3:24" s="254" customFormat="1" ht="13.9" customHeight="1" x14ac:dyDescent="0.2">
      <c r="N236" s="1389"/>
      <c r="O236" s="1389"/>
      <c r="P236" s="1389"/>
      <c r="Q236" s="1389"/>
      <c r="R236" s="1389"/>
      <c r="S236" s="1389"/>
      <c r="T236" s="1389"/>
      <c r="U236" s="1389"/>
      <c r="V236" s="1389"/>
      <c r="W236" s="1389"/>
      <c r="X236" s="1389"/>
    </row>
    <row r="237" spans="3:24" s="254" customFormat="1" ht="13.9" customHeight="1" x14ac:dyDescent="0.2">
      <c r="N237" s="1389"/>
      <c r="O237" s="1389"/>
      <c r="P237" s="1389"/>
      <c r="Q237" s="1389"/>
      <c r="R237" s="1389"/>
      <c r="S237" s="1389"/>
      <c r="T237" s="1389"/>
      <c r="U237" s="1389"/>
      <c r="V237" s="1389"/>
      <c r="W237" s="1389"/>
      <c r="X237" s="1389"/>
    </row>
    <row r="238" spans="3:24" s="254" customFormat="1" ht="13.9" customHeight="1" x14ac:dyDescent="0.2">
      <c r="N238" s="1389"/>
      <c r="O238" s="1389"/>
      <c r="P238" s="1389"/>
      <c r="Q238" s="1389"/>
      <c r="R238" s="1389"/>
      <c r="S238" s="1389"/>
      <c r="T238" s="1389"/>
      <c r="U238" s="1389"/>
      <c r="V238" s="1389"/>
      <c r="W238" s="1389"/>
      <c r="X238" s="1389"/>
    </row>
    <row r="239" spans="3:24" s="254" customFormat="1" ht="13.9" customHeight="1" x14ac:dyDescent="0.2">
      <c r="N239" s="1389"/>
      <c r="O239" s="1389"/>
      <c r="P239" s="1389"/>
      <c r="Q239" s="1389"/>
      <c r="R239" s="1389"/>
      <c r="S239" s="1389"/>
      <c r="T239" s="1389"/>
      <c r="U239" s="1389"/>
      <c r="V239" s="1389"/>
      <c r="W239" s="1389"/>
      <c r="X239" s="1389"/>
    </row>
    <row r="240" spans="3:24" s="254" customFormat="1" ht="13.9" customHeight="1" x14ac:dyDescent="0.2">
      <c r="N240" s="1389"/>
      <c r="O240" s="1389"/>
      <c r="P240" s="1389"/>
      <c r="Q240" s="1389"/>
      <c r="R240" s="1389"/>
      <c r="S240" s="1389"/>
      <c r="T240" s="1389"/>
      <c r="U240" s="1389"/>
      <c r="V240" s="1389"/>
      <c r="W240" s="1389"/>
      <c r="X240" s="1389"/>
    </row>
    <row r="241" spans="11:24" s="254" customFormat="1" ht="13.9" customHeight="1" x14ac:dyDescent="0.2">
      <c r="N241" s="1389"/>
      <c r="O241" s="1389"/>
      <c r="P241" s="1389"/>
      <c r="Q241" s="1389"/>
      <c r="R241" s="1389"/>
      <c r="S241" s="1389"/>
      <c r="T241" s="1389"/>
      <c r="U241" s="1389"/>
      <c r="V241" s="1389"/>
      <c r="W241" s="1389"/>
      <c r="X241" s="1389"/>
    </row>
    <row r="242" spans="11:24" s="254" customFormat="1" ht="13.9" customHeight="1" x14ac:dyDescent="0.2">
      <c r="N242" s="1389"/>
      <c r="O242" s="1389"/>
      <c r="P242" s="1389"/>
      <c r="Q242" s="1389"/>
      <c r="R242" s="1389"/>
      <c r="S242" s="1389"/>
      <c r="T242" s="1389"/>
      <c r="U242" s="1389"/>
      <c r="V242" s="1389"/>
      <c r="W242" s="1389"/>
      <c r="X242" s="1389"/>
    </row>
    <row r="243" spans="11:24" s="254" customFormat="1" ht="13.9" customHeight="1" x14ac:dyDescent="0.2">
      <c r="N243" s="1389"/>
      <c r="O243" s="1389"/>
      <c r="P243" s="1389"/>
      <c r="Q243" s="1389"/>
      <c r="R243" s="1389"/>
      <c r="S243" s="1389"/>
      <c r="T243" s="1389"/>
      <c r="U243" s="1389"/>
      <c r="V243" s="1389"/>
      <c r="W243" s="1389"/>
      <c r="X243" s="1389"/>
    </row>
    <row r="244" spans="11:24" s="254" customFormat="1" ht="13.9" customHeight="1" x14ac:dyDescent="0.2">
      <c r="N244" s="1389"/>
      <c r="O244" s="1389"/>
      <c r="P244" s="1389"/>
      <c r="Q244" s="1389"/>
      <c r="R244" s="1389"/>
      <c r="S244" s="1389"/>
      <c r="T244" s="1389"/>
      <c r="U244" s="1389"/>
      <c r="V244" s="1389"/>
      <c r="W244" s="1389"/>
      <c r="X244" s="1389"/>
    </row>
    <row r="245" spans="11:24" s="254" customFormat="1" ht="13.9" customHeight="1" x14ac:dyDescent="0.2">
      <c r="N245" s="1389"/>
      <c r="O245" s="1389"/>
      <c r="P245" s="1389"/>
      <c r="Q245" s="1389"/>
      <c r="R245" s="1389"/>
      <c r="S245" s="1389"/>
      <c r="T245" s="1389"/>
      <c r="U245" s="1389"/>
      <c r="V245" s="1389"/>
      <c r="W245" s="1389"/>
      <c r="X245" s="1389"/>
    </row>
    <row r="246" spans="11:24" s="254" customFormat="1" ht="13.9" customHeight="1" x14ac:dyDescent="0.2">
      <c r="N246" s="1389"/>
      <c r="O246" s="1389"/>
      <c r="P246" s="1389"/>
      <c r="Q246" s="1389"/>
      <c r="R246" s="1389"/>
      <c r="S246" s="1389"/>
      <c r="T246" s="1389"/>
      <c r="U246" s="1389"/>
      <c r="V246" s="1389"/>
      <c r="W246" s="1389"/>
      <c r="X246" s="1389"/>
    </row>
    <row r="247" spans="11:24" s="254" customFormat="1" ht="13.9" customHeight="1" x14ac:dyDescent="0.2">
      <c r="N247" s="1389"/>
      <c r="O247" s="1389"/>
      <c r="P247" s="1389"/>
      <c r="Q247" s="1389"/>
      <c r="R247" s="1389"/>
      <c r="S247" s="1389"/>
      <c r="T247" s="1389"/>
      <c r="U247" s="1389"/>
      <c r="V247" s="1389"/>
      <c r="W247" s="1389"/>
      <c r="X247" s="1389"/>
    </row>
    <row r="248" spans="11:24" s="254" customFormat="1" ht="13.9" customHeight="1" x14ac:dyDescent="0.2">
      <c r="N248" s="1389"/>
      <c r="O248" s="1389"/>
      <c r="P248" s="1389"/>
      <c r="Q248" s="1389"/>
      <c r="R248" s="1389"/>
      <c r="S248" s="1389"/>
      <c r="T248" s="1389"/>
      <c r="U248" s="1389"/>
      <c r="V248" s="1389"/>
      <c r="W248" s="1389"/>
      <c r="X248" s="1389"/>
    </row>
    <row r="249" spans="11:24" s="254" customFormat="1" ht="13.9" customHeight="1" x14ac:dyDescent="0.2">
      <c r="N249" s="1389"/>
      <c r="O249" s="1389"/>
      <c r="P249" s="1389"/>
      <c r="Q249" s="1389"/>
      <c r="R249" s="1389"/>
      <c r="S249" s="1389"/>
      <c r="T249" s="1389"/>
      <c r="U249" s="1389"/>
      <c r="V249" s="1389"/>
      <c r="W249" s="1389"/>
      <c r="X249" s="1389"/>
    </row>
    <row r="250" spans="11:24" s="254" customFormat="1" ht="13.9" customHeight="1" x14ac:dyDescent="0.2">
      <c r="N250" s="1389"/>
      <c r="O250" s="1389"/>
      <c r="P250" s="1389"/>
      <c r="Q250" s="1389"/>
      <c r="R250" s="1389"/>
      <c r="S250" s="1389"/>
      <c r="T250" s="1389"/>
      <c r="U250" s="1389"/>
      <c r="V250" s="1389"/>
      <c r="W250" s="1389"/>
      <c r="X250" s="1389"/>
    </row>
    <row r="251" spans="11:24" s="254" customFormat="1" ht="13.9" customHeight="1" thickBot="1" x14ac:dyDescent="0.25">
      <c r="N251" s="1389"/>
      <c r="O251" s="1389"/>
      <c r="P251" s="1389"/>
      <c r="Q251" s="1389"/>
      <c r="R251" s="1389"/>
      <c r="S251" s="1389"/>
      <c r="T251" s="1389"/>
      <c r="U251" s="1389"/>
      <c r="V251" s="1389"/>
      <c r="W251" s="1389"/>
      <c r="X251" s="1389"/>
    </row>
    <row r="252" spans="11:24" s="254" customFormat="1" ht="13.9" customHeight="1" thickBot="1" x14ac:dyDescent="0.25">
      <c r="N252" s="1389"/>
      <c r="O252" s="1389"/>
      <c r="P252" s="1389"/>
      <c r="Q252" s="1389"/>
      <c r="R252" s="1389"/>
      <c r="S252" s="1389"/>
      <c r="T252" s="1390"/>
      <c r="U252" s="1391"/>
      <c r="V252" s="1389"/>
      <c r="W252" s="1389"/>
      <c r="X252" s="1389"/>
    </row>
    <row r="253" spans="11:24" s="254" customFormat="1" ht="13.9" customHeight="1" thickBot="1" x14ac:dyDescent="0.25">
      <c r="N253" s="1389"/>
      <c r="O253" s="1389"/>
      <c r="P253" s="1389"/>
      <c r="Q253" s="1389"/>
      <c r="R253" s="1389"/>
      <c r="S253" s="1389"/>
      <c r="T253" s="1392"/>
      <c r="U253" s="1393"/>
      <c r="V253" s="1389"/>
      <c r="W253" s="1389"/>
      <c r="X253" s="1389"/>
    </row>
    <row r="254" spans="11:24" s="254" customFormat="1" ht="13.9" customHeight="1" thickBot="1" x14ac:dyDescent="0.25">
      <c r="N254" s="1389"/>
      <c r="O254" s="1389"/>
      <c r="P254" s="1389"/>
      <c r="Q254" s="1389"/>
      <c r="R254" s="1389"/>
      <c r="S254" s="1389"/>
      <c r="T254" s="1394"/>
      <c r="U254" s="1391"/>
      <c r="V254" s="1389"/>
      <c r="W254" s="1389"/>
      <c r="X254" s="1389"/>
    </row>
    <row r="255" spans="11:24" ht="21.75" thickBot="1" x14ac:dyDescent="0.4">
      <c r="K255" s="254"/>
      <c r="L255" s="254"/>
      <c r="T255" s="1392"/>
      <c r="U255" s="1393"/>
      <c r="V255" s="1389"/>
      <c r="W255" s="1389"/>
    </row>
    <row r="256" spans="11:24" ht="21.75" thickBot="1" x14ac:dyDescent="0.4">
      <c r="K256" s="254"/>
      <c r="L256" s="254"/>
      <c r="T256" s="1394"/>
      <c r="U256" s="1391"/>
      <c r="V256" s="1389"/>
      <c r="W256" s="1389"/>
    </row>
    <row r="257" spans="12:23" ht="21.75" thickBot="1" x14ac:dyDescent="0.4">
      <c r="L257" s="254"/>
      <c r="T257" s="1392"/>
      <c r="U257" s="1393"/>
      <c r="V257" s="1389"/>
      <c r="W257" s="1389"/>
    </row>
    <row r="258" spans="12:23" x14ac:dyDescent="0.35">
      <c r="L258" s="254"/>
    </row>
    <row r="294" spans="11:12" x14ac:dyDescent="0.35">
      <c r="K294" s="865"/>
    </row>
    <row r="296" spans="11:12" x14ac:dyDescent="0.35">
      <c r="L296" s="865"/>
    </row>
  </sheetData>
  <sheetProtection algorithmName="SHA-512" hashValue="7mPJ9YlnqXqSSedRDgsC2lchaN7MwIIA/XEy5hpeZlPeuJplRc9+4+/Wiryn+yPyGtv3LjRRWWeHPyWCD8oQXg==" saltValue="6lUu9WvxkWPGoVpdZfTybQ==" spinCount="100000" sheet="1" objects="1" scenarios="1" selectLockedCells="1" pivotTables="0"/>
  <protectedRanges>
    <protectedRange sqref="L30 L20 L22 L24" name="Rango3"/>
  </protectedRanges>
  <mergeCells count="182">
    <mergeCell ref="G55:K55"/>
    <mergeCell ref="G67:K67"/>
    <mergeCell ref="G61:K61"/>
    <mergeCell ref="G62:K62"/>
    <mergeCell ref="G63:K63"/>
    <mergeCell ref="D57:F57"/>
    <mergeCell ref="D58:F58"/>
    <mergeCell ref="D59:F59"/>
    <mergeCell ref="G74:K74"/>
    <mergeCell ref="G76:K76"/>
    <mergeCell ref="G77:K77"/>
    <mergeCell ref="D78:K78"/>
    <mergeCell ref="G79:K79"/>
    <mergeCell ref="D81:H81"/>
    <mergeCell ref="D82:H82"/>
    <mergeCell ref="D84:H84"/>
    <mergeCell ref="D64:F64"/>
    <mergeCell ref="D65:F65"/>
    <mergeCell ref="D66:F66"/>
    <mergeCell ref="G64:K64"/>
    <mergeCell ref="G65:K65"/>
    <mergeCell ref="G66:K66"/>
    <mergeCell ref="D69:F69"/>
    <mergeCell ref="C229:E229"/>
    <mergeCell ref="C230:E230"/>
    <mergeCell ref="C231:E231"/>
    <mergeCell ref="C232:E232"/>
    <mergeCell ref="C233:E233"/>
    <mergeCell ref="E43:G44"/>
    <mergeCell ref="C43:D44"/>
    <mergeCell ref="D18:F18"/>
    <mergeCell ref="D12:D17"/>
    <mergeCell ref="D33:F34"/>
    <mergeCell ref="G33:G34"/>
    <mergeCell ref="G56:K56"/>
    <mergeCell ref="G60:K60"/>
    <mergeCell ref="D73:F73"/>
    <mergeCell ref="D74:F74"/>
    <mergeCell ref="D75:F75"/>
    <mergeCell ref="D56:F56"/>
    <mergeCell ref="D60:F60"/>
    <mergeCell ref="D61:F61"/>
    <mergeCell ref="D62:F62"/>
    <mergeCell ref="G68:K68"/>
    <mergeCell ref="G69:K69"/>
    <mergeCell ref="G73:K73"/>
    <mergeCell ref="D63:F63"/>
    <mergeCell ref="L9:L11"/>
    <mergeCell ref="B1:B2"/>
    <mergeCell ref="C1:C2"/>
    <mergeCell ref="B3:L3"/>
    <mergeCell ref="D4:H4"/>
    <mergeCell ref="D5:H5"/>
    <mergeCell ref="D6:F6"/>
    <mergeCell ref="D7:H7"/>
    <mergeCell ref="B9:B11"/>
    <mergeCell ref="C9:C11"/>
    <mergeCell ref="D9:D11"/>
    <mergeCell ref="E9:F11"/>
    <mergeCell ref="G9:G11"/>
    <mergeCell ref="H9:J9"/>
    <mergeCell ref="K9:K11"/>
    <mergeCell ref="D1:K2"/>
    <mergeCell ref="H10:H11"/>
    <mergeCell ref="I10:I11"/>
    <mergeCell ref="J10:J11"/>
    <mergeCell ref="K33:K34"/>
    <mergeCell ref="I12:I13"/>
    <mergeCell ref="J12:J13"/>
    <mergeCell ref="E16:F17"/>
    <mergeCell ref="G16:G17"/>
    <mergeCell ref="H16:H17"/>
    <mergeCell ref="B19:B24"/>
    <mergeCell ref="D19:D24"/>
    <mergeCell ref="E19:E22"/>
    <mergeCell ref="E12:F13"/>
    <mergeCell ref="H12:H13"/>
    <mergeCell ref="G25:G28"/>
    <mergeCell ref="H25:H28"/>
    <mergeCell ref="J29:J30"/>
    <mergeCell ref="E31:F32"/>
    <mergeCell ref="G31:G32"/>
    <mergeCell ref="I16:I17"/>
    <mergeCell ref="G12:G13"/>
    <mergeCell ref="E25:E30"/>
    <mergeCell ref="F25:F28"/>
    <mergeCell ref="F19:F20"/>
    <mergeCell ref="G19:G20"/>
    <mergeCell ref="H33:H34"/>
    <mergeCell ref="I33:I34"/>
    <mergeCell ref="B12:B18"/>
    <mergeCell ref="C12:C18"/>
    <mergeCell ref="F21:F22"/>
    <mergeCell ref="G21:G22"/>
    <mergeCell ref="H21:H22"/>
    <mergeCell ref="I21:I22"/>
    <mergeCell ref="B89:F89"/>
    <mergeCell ref="C49:C67"/>
    <mergeCell ref="C68:C77"/>
    <mergeCell ref="D67:F67"/>
    <mergeCell ref="D68:F68"/>
    <mergeCell ref="D76:F76"/>
    <mergeCell ref="D77:F77"/>
    <mergeCell ref="D79:F79"/>
    <mergeCell ref="G75:K75"/>
    <mergeCell ref="K41:L42"/>
    <mergeCell ref="H37:K37"/>
    <mergeCell ref="J33:J34"/>
    <mergeCell ref="K19:K20"/>
    <mergeCell ref="K21:K22"/>
    <mergeCell ref="K23:K24"/>
    <mergeCell ref="K29:K30"/>
    <mergeCell ref="K31:K32"/>
    <mergeCell ref="K35:K36"/>
    <mergeCell ref="P12:P15"/>
    <mergeCell ref="J23:J24"/>
    <mergeCell ref="D25:D32"/>
    <mergeCell ref="H31:H32"/>
    <mergeCell ref="I31:I32"/>
    <mergeCell ref="J31:J32"/>
    <mergeCell ref="K12:K13"/>
    <mergeCell ref="K16:K17"/>
    <mergeCell ref="K14:K15"/>
    <mergeCell ref="K25:K28"/>
    <mergeCell ref="N15:O15"/>
    <mergeCell ref="E23:F24"/>
    <mergeCell ref="G23:G24"/>
    <mergeCell ref="H23:H24"/>
    <mergeCell ref="E14:F15"/>
    <mergeCell ref="J16:J17"/>
    <mergeCell ref="G14:G15"/>
    <mergeCell ref="H14:H15"/>
    <mergeCell ref="J21:J22"/>
    <mergeCell ref="L25:L26"/>
    <mergeCell ref="G54:K54"/>
    <mergeCell ref="Q12:Q14"/>
    <mergeCell ref="E39:G40"/>
    <mergeCell ref="C41:D42"/>
    <mergeCell ref="E41:G42"/>
    <mergeCell ref="J25:J28"/>
    <mergeCell ref="C19:C34"/>
    <mergeCell ref="B26:B32"/>
    <mergeCell ref="L27:L28"/>
    <mergeCell ref="F29:F30"/>
    <mergeCell ref="G29:G30"/>
    <mergeCell ref="H29:H30"/>
    <mergeCell ref="I29:I30"/>
    <mergeCell ref="I25:I28"/>
    <mergeCell ref="B35:B37"/>
    <mergeCell ref="C35:C37"/>
    <mergeCell ref="I23:I24"/>
    <mergeCell ref="D35:D37"/>
    <mergeCell ref="E35:G35"/>
    <mergeCell ref="E36:G36"/>
    <mergeCell ref="E37:G37"/>
    <mergeCell ref="H19:H20"/>
    <mergeCell ref="I19:I20"/>
    <mergeCell ref="J19:J20"/>
    <mergeCell ref="C39:D40"/>
    <mergeCell ref="G48:K48"/>
    <mergeCell ref="D48:F48"/>
    <mergeCell ref="G57:K57"/>
    <mergeCell ref="G58:K58"/>
    <mergeCell ref="G59:K59"/>
    <mergeCell ref="D70:F70"/>
    <mergeCell ref="D71:F71"/>
    <mergeCell ref="D72:F72"/>
    <mergeCell ref="G70:K70"/>
    <mergeCell ref="G71:K71"/>
    <mergeCell ref="G72:K72"/>
    <mergeCell ref="D49:F49"/>
    <mergeCell ref="D50:F50"/>
    <mergeCell ref="D51:F51"/>
    <mergeCell ref="D52:F52"/>
    <mergeCell ref="D53:F53"/>
    <mergeCell ref="D54:F54"/>
    <mergeCell ref="D55:F55"/>
    <mergeCell ref="G49:K49"/>
    <mergeCell ref="G50:K50"/>
    <mergeCell ref="G51:K51"/>
    <mergeCell ref="G52:K52"/>
    <mergeCell ref="G53:K53"/>
  </mergeCells>
  <conditionalFormatting sqref="E14:F15">
    <cfRule type="containsText" dxfId="319" priority="31" operator="containsText" text="ESTADOS FINANCIEROS Fondo de Pensiones Públicas de Bogotá – FPPB">
      <formula>NOT(ISERROR(SEARCH("ESTADOS FINANCIEROS Fondo de Pensiones Públicas de Bogotá – FPPB",E14)))</formula>
    </cfRule>
    <cfRule type="containsText" dxfId="318" priority="30" operator="containsText" text="ESTADOS FINANCIEROS Sistema Integrado de Transporte Público - SITP">
      <formula>NOT(ISERROR(SEARCH("ESTADOS FINANCIEROS Sistema Integrado de Transporte Público - SITP",E14)))</formula>
    </cfRule>
  </conditionalFormatting>
  <conditionalFormatting sqref="H14:H15">
    <cfRule type="top10" dxfId="317" priority="27" percent="1" bottom="1" rank="1"/>
  </conditionalFormatting>
  <conditionalFormatting sqref="H36">
    <cfRule type="containsText" dxfId="316" priority="23" operator="containsText" text="INEFICAZ">
      <formula>NOT(ISERROR(SEARCH("INEFICAZ",H36)))</formula>
    </cfRule>
  </conditionalFormatting>
  <conditionalFormatting sqref="H37 H38:J38">
    <cfRule type="containsText" dxfId="315" priority="152" operator="containsText" text="INEFECTIVO">
      <formula>NOT(ISERROR(SEARCH("INEFECTIVO",H37)))</formula>
    </cfRule>
    <cfRule type="containsText" dxfId="314" priority="153" operator="containsText" text="EFECTIVO">
      <formula>NOT(ISERROR(SEARCH("EFECTIVO",H37)))</formula>
    </cfRule>
    <cfRule type="cellIs" dxfId="313" priority="149" operator="equal">
      <formula>"NO FENECE"</formula>
    </cfRule>
  </conditionalFormatting>
  <conditionalFormatting sqref="H37:H38">
    <cfRule type="cellIs" dxfId="312" priority="150" operator="equal">
      <formula>"FENECE"</formula>
    </cfRule>
    <cfRule type="containsText" dxfId="311" priority="165" stopIfTrue="1" operator="containsText" text="SE FENECE">
      <formula>NOT(ISERROR(SEARCH("SE FENECE",H37)))</formula>
    </cfRule>
    <cfRule type="containsText" dxfId="310" priority="164" stopIfTrue="1" operator="containsText" text="NO SE FENECE">
      <formula>NOT(ISERROR(SEARCH("NO SE FENECE",H37)))</formula>
    </cfRule>
  </conditionalFormatting>
  <conditionalFormatting sqref="H40">
    <cfRule type="expression" dxfId="309" priority="71">
      <formula>$H$40="INEFICIENTE"</formula>
    </cfRule>
    <cfRule type="expression" dxfId="308" priority="70">
      <formula>$H$40="EFICIENTE"</formula>
    </cfRule>
    <cfRule type="expression" dxfId="307" priority="69">
      <formula>$H$40="CON DEFICIENCIAS"</formula>
    </cfRule>
  </conditionalFormatting>
  <conditionalFormatting sqref="H42">
    <cfRule type="expression" dxfId="306" priority="163">
      <formula>$H$42="INEFICIENTE"</formula>
    </cfRule>
    <cfRule type="expression" dxfId="305" priority="151">
      <formula>$H$42="CON DEFICIENCIAS"</formula>
    </cfRule>
    <cfRule type="expression" dxfId="304" priority="162">
      <formula>$H$42="EFICIENTE"</formula>
    </cfRule>
  </conditionalFormatting>
  <conditionalFormatting sqref="H44">
    <cfRule type="expression" dxfId="303" priority="68">
      <formula>$H$44="INEFICAZ"</formula>
    </cfRule>
    <cfRule type="expression" dxfId="302" priority="67">
      <formula>$H$44="EFICAZ"</formula>
    </cfRule>
  </conditionalFormatting>
  <conditionalFormatting sqref="H36:I36">
    <cfRule type="containsText" dxfId="301" priority="169" stopIfTrue="1" operator="containsText" text="INEFICAZ">
      <formula>NOT(ISERROR(SEARCH("INEFICAZ",H36)))</formula>
    </cfRule>
    <cfRule type="containsText" dxfId="300" priority="168" stopIfTrue="1" operator="containsText" text="EFICAZ">
      <formula>NOT(ISERROR(SEARCH("EFICAZ",H36)))</formula>
    </cfRule>
  </conditionalFormatting>
  <conditionalFormatting sqref="H35:J35">
    <cfRule type="cellIs" dxfId="299" priority="157" operator="between">
      <formula>0</formula>
      <formula>0.749</formula>
    </cfRule>
    <cfRule type="cellIs" dxfId="298" priority="156" operator="between">
      <formula>0.75</formula>
      <formula>1</formula>
    </cfRule>
  </conditionalFormatting>
  <conditionalFormatting sqref="I36">
    <cfRule type="containsText" dxfId="297" priority="24" operator="containsText" text="INEFICIENTE">
      <formula>NOT(ISERROR(SEARCH("INEFICIENTE",I36)))</formula>
    </cfRule>
  </conditionalFormatting>
  <conditionalFormatting sqref="I44">
    <cfRule type="expression" dxfId="296" priority="46">
      <formula>$I$44="EFICIENTE"</formula>
    </cfRule>
    <cfRule type="expression" dxfId="295" priority="47">
      <formula>$I$44="INEFICIENTE"</formula>
    </cfRule>
  </conditionalFormatting>
  <conditionalFormatting sqref="J36">
    <cfRule type="containsText" dxfId="294" priority="166" stopIfTrue="1" operator="containsText" text="ANTIECONOMICA">
      <formula>NOT(ISERROR(SEARCH("ANTIECONOMICA",J36)))</formula>
    </cfRule>
    <cfRule type="containsText" dxfId="293" priority="167" stopIfTrue="1" operator="containsText" text="ECONOMICA">
      <formula>NOT(ISERROR(SEARCH("ECONOMICA",J36)))</formula>
    </cfRule>
  </conditionalFormatting>
  <conditionalFormatting sqref="K35:K36">
    <cfRule type="cellIs" dxfId="292" priority="102" operator="lessThan">
      <formula>0.75</formula>
    </cfRule>
    <cfRule type="cellIs" dxfId="291" priority="103" operator="greaterThanOrEqual">
      <formula>0.75</formula>
    </cfRule>
  </conditionalFormatting>
  <conditionalFormatting sqref="L1:L2">
    <cfRule type="cellIs" dxfId="290" priority="41" operator="equal">
      <formula>"INEXISTENTE"</formula>
    </cfRule>
    <cfRule type="cellIs" dxfId="289" priority="42" operator="equal">
      <formula>"INADECUADO"</formula>
    </cfRule>
    <cfRule type="cellIs" dxfId="288" priority="43" operator="equal">
      <formula>"PARCIALMENTE ADECUADO"</formula>
    </cfRule>
    <cfRule type="cellIs" dxfId="287" priority="44" operator="equal">
      <formula>"ADECUADO"</formula>
    </cfRule>
    <cfRule type="cellIs" dxfId="286" priority="45" operator="equal">
      <formula>"ERROR"</formula>
    </cfRule>
  </conditionalFormatting>
  <conditionalFormatting sqref="L13">
    <cfRule type="containsText" dxfId="285" priority="131" operator="containsText" text="CON SALVEDADES">
      <formula>NOT(ISERROR(SEARCH("CON SALVEDADES",L13)))</formula>
    </cfRule>
    <cfRule type="containsText" dxfId="284" priority="126" operator="containsText" text="No razonable">
      <formula>NOT(ISERROR(SEARCH("No razonable",L13)))</formula>
    </cfRule>
    <cfRule type="containsText" dxfId="283" priority="128" operator="containsText" text="Razonable">
      <formula>NOT(ISERROR(SEARCH("Razonable",L13)))</formula>
    </cfRule>
    <cfRule type="containsText" dxfId="282" priority="129" operator="containsText" text="Negativa">
      <formula>NOT(ISERROR(SEARCH("Negativa",L13)))</formula>
    </cfRule>
    <cfRule type="containsText" dxfId="281" priority="130" operator="containsText" text="ABSTENCIÓN">
      <formula>NOT(ISERROR(SEARCH("ABSTENCIÓN",L13)))</formula>
    </cfRule>
  </conditionalFormatting>
  <conditionalFormatting sqref="L14">
    <cfRule type="containsText" dxfId="280" priority="26" operator="containsText" text="OPINIÓN ESTADOS FINANCIEROS SITP">
      <formula>NOT(ISERROR(SEARCH("OPINIÓN ESTADOS FINANCIEROS SITP",L14)))</formula>
    </cfRule>
    <cfRule type="containsText" dxfId="279" priority="16" operator="containsText" text="OPINIÓN ESTADOS FINANCIEROS FPPB">
      <formula>NOT(ISERROR(SEARCH("OPINIÓN ESTADOS FINANCIEROS FPPB",L14)))</formula>
    </cfRule>
  </conditionalFormatting>
  <conditionalFormatting sqref="L15">
    <cfRule type="containsText" dxfId="278" priority="39" operator="containsText" text="Abstención">
      <formula>NOT(ISERROR(SEARCH("Abstención",L15)))</formula>
    </cfRule>
    <cfRule type="containsText" dxfId="277" priority="40" operator="containsText" text="Con Salvedades">
      <formula>NOT(ISERROR(SEARCH("Con Salvedades",L15)))</formula>
    </cfRule>
    <cfRule type="containsText" dxfId="276" priority="17" operator="containsText" text="Limpia o Sin Salvedades">
      <formula>NOT(ISERROR(SEARCH("Limpia o Sin Salvedades",L15)))</formula>
    </cfRule>
    <cfRule type="containsText" dxfId="275" priority="25" operator="containsText" text="Negativa">
      <formula>NOT(ISERROR(SEARCH("Negativa",L15)))</formula>
    </cfRule>
  </conditionalFormatting>
  <conditionalFormatting sqref="L17">
    <cfRule type="expression" dxfId="274" priority="133">
      <formula>"""Con Observaciones"""</formula>
    </cfRule>
    <cfRule type="containsText" dxfId="273" priority="134" operator="containsText" text="Efectivo">
      <formula>NOT(ISERROR(SEARCH("Efectivo",L17)))</formula>
    </cfRule>
    <cfRule type="containsText" dxfId="272" priority="117" operator="containsText" text="No Aplica">
      <formula>NOT(ISERROR(SEARCH("No Aplica",L17)))</formula>
    </cfRule>
    <cfRule type="containsText" dxfId="271" priority="132" operator="containsText" text="Inefectivo">
      <formula>NOT(ISERROR(SEARCH("Inefectivo",L17)))</formula>
    </cfRule>
  </conditionalFormatting>
  <conditionalFormatting sqref="L18">
    <cfRule type="expression" dxfId="270" priority="91">
      <formula>$J$18="La calificación de los principios de Desempeño Financiero debe ser 0%, porque no hay razonabilidad de Estados Financieros"</formula>
    </cfRule>
  </conditionalFormatting>
  <conditionalFormatting sqref="L20">
    <cfRule type="containsText" dxfId="269" priority="4" operator="containsText" text="Efectivo">
      <formula>NOT(ISERROR(SEARCH("Efectivo",L20)))</formula>
    </cfRule>
    <cfRule type="expression" dxfId="268" priority="3">
      <formula>"""Con Observaciones"""</formula>
    </cfRule>
    <cfRule type="containsText" dxfId="267" priority="1" operator="containsText" text="No Aplica">
      <formula>NOT(ISERROR(SEARCH("No Aplica",L20)))</formula>
    </cfRule>
    <cfRule type="containsText" dxfId="266" priority="2" operator="containsText" text="Inefectivo">
      <formula>NOT(ISERROR(SEARCH("Inefectivo",L20)))</formula>
    </cfRule>
  </conditionalFormatting>
  <conditionalFormatting sqref="L22">
    <cfRule type="containsText" dxfId="265" priority="10" operator="containsText" text="No Razonable">
      <formula>NOT(ISERROR(SEARCH("No Razonable",L22)))</formula>
    </cfRule>
    <cfRule type="containsText" dxfId="264" priority="83" operator="containsText" text="Razonable">
      <formula>NOT(ISERROR(SEARCH("Razonable",L22)))</formula>
    </cfRule>
    <cfRule type="containsText" dxfId="263" priority="84" operator="containsText" text="Abstención">
      <formula>NOT(ISERROR(SEARCH("Abstención",L22)))</formula>
    </cfRule>
    <cfRule type="containsText" dxfId="262" priority="85" operator="containsText" text="Con Salvedades">
      <formula>NOT(ISERROR(SEARCH("Con Salvedades",L22)))</formula>
    </cfRule>
    <cfRule type="containsText" dxfId="261" priority="22" operator="containsText" text="No Aplica">
      <formula>NOT(ISERROR(SEARCH("No Aplica",L22)))</formula>
    </cfRule>
  </conditionalFormatting>
  <conditionalFormatting sqref="L24">
    <cfRule type="containsText" dxfId="260" priority="79" operator="containsText" text="Razonable">
      <formula>NOT(ISERROR(SEARCH("Razonable",L24)))</formula>
    </cfRule>
    <cfRule type="containsText" dxfId="259" priority="21" operator="containsText" text="No Aplica">
      <formula>NOT(ISERROR(SEARCH("No Aplica",L24)))</formula>
    </cfRule>
    <cfRule type="containsText" dxfId="258" priority="80" operator="containsText" text="Abstención">
      <formula>NOT(ISERROR(SEARCH("Abstención",L24)))</formula>
    </cfRule>
    <cfRule type="containsText" dxfId="257" priority="81" operator="containsText" text="Con Salvedades">
      <formula>NOT(ISERROR(SEARCH("Con Salvedades",L24)))</formula>
    </cfRule>
    <cfRule type="containsText" dxfId="256" priority="9" operator="containsText" text="No Razonable">
      <formula>NOT(ISERROR(SEARCH("No Razonable",L24)))</formula>
    </cfRule>
  </conditionalFormatting>
  <conditionalFormatting sqref="L27:L28">
    <cfRule type="containsText" dxfId="255" priority="116" operator="containsText" text="No Aplica">
      <formula>NOT(ISERROR(SEARCH("No Aplica",L27)))</formula>
    </cfRule>
    <cfRule type="containsText" dxfId="254" priority="121" operator="containsText" text="Desfavorable">
      <formula>NOT(ISERROR(SEARCH("Desfavorable",L27)))</formula>
    </cfRule>
    <cfRule type="containsText" dxfId="253" priority="122" operator="containsText" text="Favorable">
      <formula>NOT(ISERROR(SEARCH("Favorable",L27)))</formula>
    </cfRule>
    <cfRule type="containsText" dxfId="252" priority="125" operator="containsText" text="Con Observaciones">
      <formula>NOT(ISERROR(SEARCH("Con Observaciones",L27)))</formula>
    </cfRule>
  </conditionalFormatting>
  <conditionalFormatting sqref="L30">
    <cfRule type="containsText" priority="20" operator="containsText" text="No Aplica">
      <formula>NOT(ISERROR(SEARCH("No Aplica",L30)))</formula>
    </cfRule>
    <cfRule type="containsText" dxfId="251" priority="8" operator="containsText" text="Desfavorable">
      <formula>NOT(ISERROR(SEARCH("Desfavorable",L30)))</formula>
    </cfRule>
    <cfRule type="containsText" dxfId="250" priority="187" operator="containsText" text="Con Observaciones">
      <formula>NOT(ISERROR(SEARCH("Con Observaciones",L30)))</formula>
    </cfRule>
    <cfRule type="containsText" dxfId="249" priority="188" operator="containsText" text="Favorable">
      <formula>NOT(ISERROR(SEARCH("Favorable",L30)))</formula>
    </cfRule>
  </conditionalFormatting>
  <conditionalFormatting sqref="L32">
    <cfRule type="containsText" priority="19" operator="containsText" text="No Aplica">
      <formula>NOT(ISERROR(SEARCH("No Aplica",L32)))</formula>
    </cfRule>
    <cfRule type="containsText" dxfId="248" priority="7" operator="containsText" text="Favorable">
      <formula>NOT(ISERROR(SEARCH("Favorable",L32)))</formula>
    </cfRule>
    <cfRule type="containsText" dxfId="247" priority="6" operator="containsText" text="Con Observaciones">
      <formula>NOT(ISERROR(SEARCH("Con Observaciones",L32)))</formula>
    </cfRule>
    <cfRule type="containsText" dxfId="246" priority="5" operator="containsText" text="Desfavorable">
      <formula>NOT(ISERROR(SEARCH("Desfavorable",L32)))</formula>
    </cfRule>
  </conditionalFormatting>
  <conditionalFormatting sqref="L34">
    <cfRule type="containsText" priority="18" operator="containsText" text="No Aplica">
      <formula>NOT(ISERROR(SEARCH("No Aplica",L34)))</formula>
    </cfRule>
    <cfRule type="containsText" dxfId="245" priority="13" operator="containsText" text="Razonable">
      <formula>NOT(ISERROR(SEARCH("Razonable",L34)))</formula>
    </cfRule>
    <cfRule type="containsText" dxfId="244" priority="12" operator="containsText" text="No Razonable">
      <formula>NOT(ISERROR(SEARCH("No Razonable",L34)))</formula>
    </cfRule>
    <cfRule type="containsText" dxfId="243" priority="190" operator="containsText" text="Con Salvedades">
      <formula>NOT(ISERROR(SEARCH("Con Salvedades",L34)))</formula>
    </cfRule>
  </conditionalFormatting>
  <pageMargins left="0.7" right="0.7" top="0.75" bottom="0.75" header="0.3" footer="0.3"/>
  <pageSetup paperSize="9" orientation="portrait" r:id="rId1"/>
  <ignoredErrors>
    <ignoredError sqref="H17 I26:J28 I30:J30 H30 H22 H24 H26:H28 J25 H13 H20"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LISTAS!$R$3:$R$96</xm:f>
          </x14:formula1>
          <xm:sqref>D5:H5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FFFF00"/>
  </sheetPr>
  <dimension ref="A1:T232"/>
  <sheetViews>
    <sheetView topLeftCell="K1" zoomScale="106" zoomScaleNormal="100" workbookViewId="0">
      <selection activeCell="T1" sqref="T1"/>
    </sheetView>
  </sheetViews>
  <sheetFormatPr baseColWidth="10" defaultColWidth="11.42578125" defaultRowHeight="14.25" x14ac:dyDescent="0.2"/>
  <cols>
    <col min="1" max="1" width="11.42578125" style="11"/>
    <col min="2" max="2" width="33.140625" style="11" customWidth="1"/>
    <col min="3" max="3" width="29.85546875" style="11" customWidth="1"/>
    <col min="4" max="4" width="31.5703125" style="11" customWidth="1"/>
    <col min="5" max="5" width="21.7109375" style="11" customWidth="1"/>
    <col min="6" max="6" width="12.42578125" style="11" customWidth="1"/>
    <col min="7" max="7" width="22.28515625" style="11" customWidth="1"/>
    <col min="8" max="8" width="21.42578125" style="1066" customWidth="1"/>
    <col min="9" max="9" width="24.7109375" style="11" bestFit="1" customWidth="1"/>
    <col min="10" max="10" width="24.7109375" style="62" customWidth="1"/>
    <col min="11" max="11" width="21.28515625" style="62" customWidth="1"/>
    <col min="12" max="13" width="27.42578125" style="11" customWidth="1"/>
    <col min="14" max="14" width="27.42578125" style="62" customWidth="1"/>
    <col min="15" max="15" width="35.7109375" style="62" customWidth="1"/>
    <col min="16" max="16" width="16.28515625" style="11" customWidth="1"/>
    <col min="17" max="17" width="16.28515625" style="62" customWidth="1"/>
    <col min="18" max="18" width="12.5703125" style="62" customWidth="1"/>
    <col min="19" max="19" width="40.42578125" style="11" customWidth="1"/>
    <col min="20" max="16384" width="11.42578125" style="11"/>
  </cols>
  <sheetData>
    <row r="1" spans="1:19" ht="48" customHeight="1" x14ac:dyDescent="0.2">
      <c r="B1" s="1912"/>
      <c r="C1" s="1916" t="s">
        <v>1602</v>
      </c>
      <c r="D1" s="1917"/>
      <c r="E1" s="1917"/>
      <c r="F1" s="1917"/>
      <c r="G1" s="1917"/>
      <c r="H1" s="1917"/>
      <c r="I1" s="1917"/>
      <c r="J1" s="1917"/>
      <c r="K1" s="1917"/>
      <c r="L1" s="1917"/>
      <c r="M1" s="1917"/>
      <c r="N1" s="1917"/>
      <c r="O1" s="1917"/>
      <c r="P1" s="1917"/>
      <c r="Q1" s="1917"/>
      <c r="R1" s="1918"/>
      <c r="S1" s="978" t="s">
        <v>1600</v>
      </c>
    </row>
    <row r="2" spans="1:19" ht="28.5" customHeight="1" x14ac:dyDescent="0.2">
      <c r="B2" s="1913"/>
      <c r="C2" s="1919"/>
      <c r="D2" s="1920"/>
      <c r="E2" s="1920"/>
      <c r="F2" s="1920"/>
      <c r="G2" s="1920"/>
      <c r="H2" s="1920"/>
      <c r="I2" s="1920"/>
      <c r="J2" s="1920"/>
      <c r="K2" s="1920"/>
      <c r="L2" s="1920"/>
      <c r="M2" s="1920"/>
      <c r="N2" s="1920"/>
      <c r="O2" s="1920"/>
      <c r="P2" s="1920"/>
      <c r="Q2" s="1920"/>
      <c r="R2" s="1921"/>
      <c r="S2" s="976" t="s">
        <v>1731</v>
      </c>
    </row>
    <row r="4" spans="1:19" ht="18" x14ac:dyDescent="0.25">
      <c r="B4" s="300"/>
      <c r="C4" s="1914"/>
      <c r="D4" s="1914"/>
      <c r="E4" s="301"/>
      <c r="F4" s="9"/>
      <c r="G4" s="9"/>
      <c r="H4" s="1330"/>
    </row>
    <row r="5" spans="1:19" ht="18" x14ac:dyDescent="0.2">
      <c r="C5" s="1910" t="s">
        <v>647</v>
      </c>
      <c r="D5" s="1910"/>
      <c r="E5" s="1910"/>
      <c r="F5" s="1910"/>
      <c r="G5" s="1910"/>
      <c r="H5" s="1910"/>
    </row>
    <row r="6" spans="1:19" ht="15.75" customHeight="1" x14ac:dyDescent="0.2">
      <c r="B6" s="11" t="s">
        <v>0</v>
      </c>
      <c r="C6" s="1856" t="str">
        <f>+FENECIMIENTO!D4</f>
        <v xml:space="preserve">80000 - DIRECCIÓN SECTOR MOVILIDAD </v>
      </c>
      <c r="D6" s="1856"/>
    </row>
    <row r="7" spans="1:19" ht="31.15" customHeight="1" x14ac:dyDescent="0.2">
      <c r="B7" s="11" t="s">
        <v>1</v>
      </c>
      <c r="C7" s="1915" t="str">
        <f>+FENECIMIENTO!D5</f>
        <v xml:space="preserve">262 - Empresa de Transporte del Tercer Milenio - Transmilenio S.A. </v>
      </c>
      <c r="D7" s="1915"/>
      <c r="F7" s="302" t="s">
        <v>2</v>
      </c>
      <c r="G7" s="303"/>
      <c r="H7" s="26">
        <f>+FENECIMIENTO!K5</f>
        <v>2024</v>
      </c>
      <c r="P7" s="304"/>
      <c r="R7" s="87"/>
      <c r="S7" s="304"/>
    </row>
    <row r="8" spans="1:19" x14ac:dyDescent="0.2">
      <c r="B8" s="11" t="s">
        <v>1589</v>
      </c>
      <c r="C8" s="26">
        <f>+FENECIMIENTO!D6</f>
        <v>2025</v>
      </c>
      <c r="D8" s="1119"/>
      <c r="F8" s="302" t="s">
        <v>3</v>
      </c>
      <c r="G8" s="303"/>
      <c r="H8" s="26">
        <f>+FENECIMIENTO!K6</f>
        <v>87</v>
      </c>
    </row>
    <row r="9" spans="1:19" x14ac:dyDescent="0.2">
      <c r="B9" s="11" t="s">
        <v>4</v>
      </c>
      <c r="C9" s="1120">
        <f>+FENECIMIENTO!D7</f>
        <v>45693</v>
      </c>
      <c r="D9" s="1118"/>
      <c r="F9" s="302" t="s">
        <v>5</v>
      </c>
      <c r="G9" s="303"/>
      <c r="H9" s="1120">
        <f>+FENECIMIENTO!K7</f>
        <v>45693</v>
      </c>
    </row>
    <row r="10" spans="1:19" ht="15.75" x14ac:dyDescent="0.25">
      <c r="B10" s="49"/>
      <c r="E10" s="49"/>
      <c r="F10" s="49"/>
      <c r="G10" s="49"/>
      <c r="I10" s="11" t="s">
        <v>648</v>
      </c>
      <c r="J10" s="1894" t="s">
        <v>649</v>
      </c>
      <c r="K10" s="1894"/>
      <c r="L10" s="1894"/>
      <c r="M10" s="1894"/>
      <c r="N10" s="1894"/>
      <c r="O10" s="1894"/>
      <c r="P10" s="1894"/>
      <c r="Q10" s="1894"/>
      <c r="R10" s="306"/>
    </row>
    <row r="11" spans="1:19" s="51" customFormat="1" ht="120" x14ac:dyDescent="0.2">
      <c r="A11" s="1125" t="s">
        <v>650</v>
      </c>
      <c r="B11" s="1125" t="s">
        <v>651</v>
      </c>
      <c r="C11" s="1125" t="s">
        <v>1722</v>
      </c>
      <c r="D11" s="1125" t="s">
        <v>1723</v>
      </c>
      <c r="E11" s="1125" t="s">
        <v>652</v>
      </c>
      <c r="F11" s="1125" t="s">
        <v>653</v>
      </c>
      <c r="G11" s="1125" t="s">
        <v>654</v>
      </c>
      <c r="H11" s="1331" t="s">
        <v>655</v>
      </c>
      <c r="I11" s="1125" t="s">
        <v>656</v>
      </c>
      <c r="J11" s="1125" t="s">
        <v>657</v>
      </c>
      <c r="K11" s="1125" t="s">
        <v>658</v>
      </c>
      <c r="L11" s="1125" t="s">
        <v>659</v>
      </c>
      <c r="M11" s="1125" t="s">
        <v>660</v>
      </c>
      <c r="N11" s="1125" t="s">
        <v>661</v>
      </c>
      <c r="O11" s="1125" t="s">
        <v>662</v>
      </c>
      <c r="P11" s="1125" t="s">
        <v>663</v>
      </c>
      <c r="Q11" s="1125" t="s">
        <v>661</v>
      </c>
      <c r="R11" s="1125" t="s">
        <v>664</v>
      </c>
      <c r="S11" s="1125" t="s">
        <v>665</v>
      </c>
    </row>
    <row r="12" spans="1:19" s="1138" customFormat="1" ht="15" x14ac:dyDescent="0.2">
      <c r="A12" s="1139"/>
      <c r="B12" s="1424"/>
      <c r="C12" s="1425">
        <v>6</v>
      </c>
      <c r="D12" s="1425">
        <v>5</v>
      </c>
      <c r="E12" s="1426">
        <f>+C12-D12</f>
        <v>1</v>
      </c>
      <c r="F12" s="1406">
        <f>IF(C12="","",+(C12-D12)/D12)</f>
        <v>0.2</v>
      </c>
      <c r="G12" s="1424"/>
      <c r="H12" s="1427"/>
      <c r="I12" s="1139"/>
      <c r="J12" s="1428"/>
      <c r="K12" s="1137"/>
      <c r="L12" s="1137"/>
      <c r="M12" s="1139"/>
      <c r="N12" s="1137"/>
      <c r="O12" s="1137"/>
      <c r="P12" s="1137"/>
      <c r="Q12" s="1137"/>
      <c r="R12" s="1429"/>
      <c r="S12" s="1424"/>
    </row>
    <row r="13" spans="1:19" s="1138" customFormat="1" ht="15" x14ac:dyDescent="0.2">
      <c r="A13" s="1139"/>
      <c r="B13" s="1424"/>
      <c r="C13" s="1425"/>
      <c r="D13" s="1425"/>
      <c r="E13" s="1426">
        <f t="shared" ref="E13:E76" si="0">+C13-D13</f>
        <v>0</v>
      </c>
      <c r="F13" s="1406" t="str">
        <f t="shared" ref="F13:F76" si="1">IF(C13="","",+(C13-D13)/D13)</f>
        <v/>
      </c>
      <c r="G13" s="1424"/>
      <c r="H13" s="1427"/>
      <c r="I13" s="1139"/>
      <c r="J13" s="1428"/>
      <c r="K13" s="1137"/>
      <c r="L13" s="1137"/>
      <c r="M13" s="1139"/>
      <c r="N13" s="1137"/>
      <c r="O13" s="1137"/>
      <c r="P13" s="1137"/>
      <c r="Q13" s="1137"/>
      <c r="R13" s="1429"/>
      <c r="S13" s="1139"/>
    </row>
    <row r="14" spans="1:19" s="1138" customFormat="1" ht="15" x14ac:dyDescent="0.2">
      <c r="A14" s="1139"/>
      <c r="B14" s="1424"/>
      <c r="C14" s="1425">
        <v>2</v>
      </c>
      <c r="D14" s="1425">
        <v>2</v>
      </c>
      <c r="E14" s="1426">
        <f t="shared" si="0"/>
        <v>0</v>
      </c>
      <c r="F14" s="1406">
        <f t="shared" si="1"/>
        <v>0</v>
      </c>
      <c r="G14" s="1424"/>
      <c r="H14" s="1427"/>
      <c r="I14" s="1139"/>
      <c r="J14" s="1137"/>
      <c r="K14" s="1137"/>
      <c r="L14" s="1139"/>
      <c r="M14" s="1139"/>
      <c r="N14" s="1137"/>
      <c r="O14" s="1137"/>
      <c r="P14" s="1137"/>
      <c r="Q14" s="1137"/>
      <c r="R14" s="1429"/>
      <c r="S14" s="1139"/>
    </row>
    <row r="15" spans="1:19" s="1138" customFormat="1" ht="15" x14ac:dyDescent="0.2">
      <c r="A15" s="1139"/>
      <c r="B15" s="1424"/>
      <c r="C15" s="1425"/>
      <c r="D15" s="1425"/>
      <c r="E15" s="1426">
        <f t="shared" si="0"/>
        <v>0</v>
      </c>
      <c r="F15" s="1406" t="str">
        <f t="shared" si="1"/>
        <v/>
      </c>
      <c r="G15" s="1424"/>
      <c r="H15" s="1427"/>
      <c r="I15" s="1139"/>
      <c r="J15" s="1428"/>
      <c r="K15" s="1137"/>
      <c r="L15" s="1139"/>
      <c r="M15" s="1139"/>
      <c r="N15" s="1137"/>
      <c r="O15" s="1137"/>
      <c r="P15" s="1137"/>
      <c r="Q15" s="1137"/>
      <c r="R15" s="1429"/>
      <c r="S15" s="1139"/>
    </row>
    <row r="16" spans="1:19" s="1138" customFormat="1" ht="15" x14ac:dyDescent="0.2">
      <c r="A16" s="1139"/>
      <c r="B16" s="1424"/>
      <c r="C16" s="1425"/>
      <c r="D16" s="1425"/>
      <c r="E16" s="1426">
        <f t="shared" si="0"/>
        <v>0</v>
      </c>
      <c r="F16" s="1406" t="str">
        <f t="shared" si="1"/>
        <v/>
      </c>
      <c r="G16" s="1424"/>
      <c r="H16" s="1427"/>
      <c r="I16" s="1139"/>
      <c r="J16" s="1137"/>
      <c r="K16" s="1137"/>
      <c r="L16" s="1139"/>
      <c r="M16" s="1139"/>
      <c r="N16" s="1137"/>
      <c r="O16" s="1137"/>
      <c r="P16" s="1137"/>
      <c r="Q16" s="1137"/>
      <c r="R16" s="1429"/>
      <c r="S16" s="1139"/>
    </row>
    <row r="17" spans="1:20" s="1138" customFormat="1" ht="15" x14ac:dyDescent="0.2">
      <c r="A17" s="1139"/>
      <c r="B17" s="1424"/>
      <c r="C17" s="1425"/>
      <c r="D17" s="1425"/>
      <c r="E17" s="1426">
        <f t="shared" si="0"/>
        <v>0</v>
      </c>
      <c r="F17" s="1406" t="str">
        <f t="shared" si="1"/>
        <v/>
      </c>
      <c r="G17" s="1424"/>
      <c r="H17" s="1427"/>
      <c r="I17" s="1139"/>
      <c r="J17" s="1137"/>
      <c r="K17" s="1137"/>
      <c r="L17" s="1139"/>
      <c r="M17" s="1139"/>
      <c r="N17" s="1137"/>
      <c r="O17" s="1137"/>
      <c r="P17" s="1139"/>
      <c r="Q17" s="1137"/>
      <c r="R17" s="1429"/>
      <c r="S17" s="1139"/>
      <c r="T17" s="1138" t="s">
        <v>143</v>
      </c>
    </row>
    <row r="18" spans="1:20" s="1138" customFormat="1" ht="15" x14ac:dyDescent="0.2">
      <c r="A18" s="1139"/>
      <c r="B18" s="1424"/>
      <c r="C18" s="1425"/>
      <c r="D18" s="1425"/>
      <c r="E18" s="1426">
        <f t="shared" si="0"/>
        <v>0</v>
      </c>
      <c r="F18" s="1406" t="str">
        <f t="shared" si="1"/>
        <v/>
      </c>
      <c r="G18" s="1424"/>
      <c r="H18" s="1427"/>
      <c r="I18" s="1139"/>
      <c r="J18" s="1137"/>
      <c r="K18" s="1137"/>
      <c r="L18" s="1139"/>
      <c r="M18" s="1139"/>
      <c r="N18" s="1137"/>
      <c r="O18" s="1137"/>
      <c r="P18" s="1139"/>
      <c r="Q18" s="1137"/>
      <c r="R18" s="1429"/>
      <c r="S18" s="1139"/>
    </row>
    <row r="19" spans="1:20" s="1138" customFormat="1" ht="15" x14ac:dyDescent="0.2">
      <c r="A19" s="1139"/>
      <c r="B19" s="1424"/>
      <c r="C19" s="1425"/>
      <c r="D19" s="1425"/>
      <c r="E19" s="1426">
        <f t="shared" si="0"/>
        <v>0</v>
      </c>
      <c r="F19" s="1406" t="str">
        <f t="shared" si="1"/>
        <v/>
      </c>
      <c r="G19" s="1424"/>
      <c r="H19" s="1427"/>
      <c r="I19" s="1139"/>
      <c r="J19" s="1137"/>
      <c r="K19" s="1137"/>
      <c r="L19" s="1139"/>
      <c r="M19" s="1139"/>
      <c r="N19" s="1137"/>
      <c r="O19" s="1137"/>
      <c r="P19" s="1139"/>
      <c r="Q19" s="1137"/>
      <c r="R19" s="1429"/>
      <c r="S19" s="1139"/>
    </row>
    <row r="20" spans="1:20" s="1138" customFormat="1" ht="15" x14ac:dyDescent="0.2">
      <c r="A20" s="1139"/>
      <c r="B20" s="1424"/>
      <c r="C20" s="1425"/>
      <c r="D20" s="1425"/>
      <c r="E20" s="1426">
        <f t="shared" si="0"/>
        <v>0</v>
      </c>
      <c r="F20" s="1406" t="str">
        <f t="shared" si="1"/>
        <v/>
      </c>
      <c r="G20" s="1424"/>
      <c r="H20" s="1427"/>
      <c r="I20" s="1139"/>
      <c r="J20" s="1428"/>
      <c r="K20" s="1137"/>
      <c r="L20" s="1139"/>
      <c r="M20" s="1139"/>
      <c r="N20" s="1137"/>
      <c r="O20" s="1137"/>
      <c r="P20" s="1139"/>
      <c r="Q20" s="1137"/>
      <c r="R20" s="1429"/>
      <c r="S20" s="1139"/>
      <c r="T20" s="1138" t="s">
        <v>143</v>
      </c>
    </row>
    <row r="21" spans="1:20" s="1138" customFormat="1" ht="15" x14ac:dyDescent="0.2">
      <c r="A21" s="1139"/>
      <c r="B21" s="1424"/>
      <c r="C21" s="1425"/>
      <c r="D21" s="1425"/>
      <c r="E21" s="1426">
        <f t="shared" si="0"/>
        <v>0</v>
      </c>
      <c r="F21" s="1406" t="str">
        <f t="shared" si="1"/>
        <v/>
      </c>
      <c r="G21" s="1424"/>
      <c r="H21" s="1427"/>
      <c r="I21" s="1139"/>
      <c r="J21" s="1137"/>
      <c r="K21" s="1137"/>
      <c r="L21" s="1139"/>
      <c r="M21" s="1139"/>
      <c r="N21" s="1137"/>
      <c r="O21" s="1137"/>
      <c r="P21" s="1139"/>
      <c r="Q21" s="1137"/>
      <c r="R21" s="1429"/>
      <c r="S21" s="1139"/>
    </row>
    <row r="22" spans="1:20" s="1138" customFormat="1" ht="15" x14ac:dyDescent="0.2">
      <c r="A22" s="1139"/>
      <c r="B22" s="1424"/>
      <c r="C22" s="1425"/>
      <c r="D22" s="1425"/>
      <c r="E22" s="1426">
        <f t="shared" si="0"/>
        <v>0</v>
      </c>
      <c r="F22" s="1406" t="str">
        <f t="shared" si="1"/>
        <v/>
      </c>
      <c r="G22" s="1424"/>
      <c r="H22" s="1427"/>
      <c r="I22" s="1139"/>
      <c r="J22" s="1137"/>
      <c r="K22" s="1137"/>
      <c r="L22" s="1139"/>
      <c r="M22" s="1139"/>
      <c r="N22" s="1137"/>
      <c r="O22" s="1137"/>
      <c r="P22" s="1139"/>
      <c r="Q22" s="1137"/>
      <c r="R22" s="1429"/>
      <c r="S22" s="1139"/>
    </row>
    <row r="23" spans="1:20" s="1138" customFormat="1" ht="15" x14ac:dyDescent="0.2">
      <c r="A23" s="1139"/>
      <c r="B23" s="1424"/>
      <c r="C23" s="1425"/>
      <c r="D23" s="1425"/>
      <c r="E23" s="1426">
        <f t="shared" si="0"/>
        <v>0</v>
      </c>
      <c r="F23" s="1406" t="str">
        <f t="shared" si="1"/>
        <v/>
      </c>
      <c r="G23" s="1424"/>
      <c r="H23" s="1427"/>
      <c r="I23" s="1139"/>
      <c r="J23" s="1137"/>
      <c r="K23" s="1137"/>
      <c r="L23" s="1139"/>
      <c r="M23" s="1139"/>
      <c r="N23" s="1137"/>
      <c r="O23" s="1137"/>
      <c r="P23" s="1139"/>
      <c r="Q23" s="1137"/>
      <c r="R23" s="1429"/>
      <c r="S23" s="1139"/>
    </row>
    <row r="24" spans="1:20" s="1138" customFormat="1" ht="15" x14ac:dyDescent="0.2">
      <c r="A24" s="1139"/>
      <c r="B24" s="1424"/>
      <c r="C24" s="1425"/>
      <c r="D24" s="1425"/>
      <c r="E24" s="1426">
        <f t="shared" si="0"/>
        <v>0</v>
      </c>
      <c r="F24" s="1406" t="str">
        <f t="shared" si="1"/>
        <v/>
      </c>
      <c r="G24" s="1424"/>
      <c r="H24" s="1427"/>
      <c r="I24" s="1139"/>
      <c r="J24" s="1137"/>
      <c r="K24" s="1137"/>
      <c r="L24" s="1139"/>
      <c r="M24" s="1139"/>
      <c r="N24" s="1137"/>
      <c r="O24" s="1137"/>
      <c r="P24" s="1139"/>
      <c r="Q24" s="1137"/>
      <c r="R24" s="1429"/>
      <c r="S24" s="1139"/>
    </row>
    <row r="25" spans="1:20" s="1138" customFormat="1" ht="15" x14ac:dyDescent="0.2">
      <c r="A25" s="1139"/>
      <c r="B25" s="1424"/>
      <c r="C25" s="1425"/>
      <c r="D25" s="1425"/>
      <c r="E25" s="1426">
        <f t="shared" si="0"/>
        <v>0</v>
      </c>
      <c r="F25" s="1406" t="str">
        <f t="shared" si="1"/>
        <v/>
      </c>
      <c r="G25" s="1424"/>
      <c r="H25" s="1427"/>
      <c r="I25" s="1139"/>
      <c r="J25" s="1137"/>
      <c r="K25" s="1137"/>
      <c r="L25" s="1139"/>
      <c r="M25" s="1139"/>
      <c r="N25" s="1137"/>
      <c r="O25" s="1137"/>
      <c r="P25" s="1139"/>
      <c r="Q25" s="1137"/>
      <c r="R25" s="1429"/>
      <c r="S25" s="1139"/>
    </row>
    <row r="26" spans="1:20" s="1138" customFormat="1" ht="15" x14ac:dyDescent="0.2">
      <c r="A26" s="1139"/>
      <c r="B26" s="1424"/>
      <c r="C26" s="1425"/>
      <c r="D26" s="1425"/>
      <c r="E26" s="1426">
        <f t="shared" si="0"/>
        <v>0</v>
      </c>
      <c r="F26" s="1406" t="str">
        <f t="shared" si="1"/>
        <v/>
      </c>
      <c r="G26" s="1424"/>
      <c r="H26" s="1427"/>
      <c r="I26" s="1139"/>
      <c r="J26" s="1428"/>
      <c r="K26" s="1137"/>
      <c r="L26" s="1139"/>
      <c r="M26" s="1139"/>
      <c r="N26" s="1137"/>
      <c r="O26" s="1137"/>
      <c r="P26" s="1139"/>
      <c r="Q26" s="1137"/>
      <c r="R26" s="1429"/>
      <c r="S26" s="1139"/>
      <c r="T26" s="1138" t="s">
        <v>143</v>
      </c>
    </row>
    <row r="27" spans="1:20" s="1138" customFormat="1" ht="15" x14ac:dyDescent="0.2">
      <c r="A27" s="1139"/>
      <c r="B27" s="1424"/>
      <c r="C27" s="1425"/>
      <c r="D27" s="1425"/>
      <c r="E27" s="1426">
        <f t="shared" si="0"/>
        <v>0</v>
      </c>
      <c r="F27" s="1406" t="str">
        <f t="shared" si="1"/>
        <v/>
      </c>
      <c r="G27" s="1424"/>
      <c r="H27" s="1427"/>
      <c r="I27" s="1139"/>
      <c r="J27" s="1137"/>
      <c r="K27" s="1137"/>
      <c r="L27" s="1139"/>
      <c r="M27" s="1139"/>
      <c r="N27" s="1137"/>
      <c r="O27" s="1137"/>
      <c r="P27" s="1139"/>
      <c r="Q27" s="1137"/>
      <c r="R27" s="1429"/>
      <c r="S27" s="1139"/>
    </row>
    <row r="28" spans="1:20" s="1138" customFormat="1" ht="15" x14ac:dyDescent="0.2">
      <c r="A28" s="1139"/>
      <c r="B28" s="1424"/>
      <c r="C28" s="1425"/>
      <c r="D28" s="1425"/>
      <c r="E28" s="1426">
        <f t="shared" si="0"/>
        <v>0</v>
      </c>
      <c r="F28" s="1406" t="str">
        <f t="shared" si="1"/>
        <v/>
      </c>
      <c r="G28" s="1424"/>
      <c r="H28" s="1427"/>
      <c r="I28" s="1139"/>
      <c r="J28" s="1137"/>
      <c r="K28" s="1137"/>
      <c r="L28" s="1139"/>
      <c r="M28" s="1139"/>
      <c r="N28" s="1137"/>
      <c r="O28" s="1137"/>
      <c r="P28" s="1139"/>
      <c r="Q28" s="1137"/>
      <c r="R28" s="1429"/>
      <c r="S28" s="1139"/>
    </row>
    <row r="29" spans="1:20" s="1138" customFormat="1" ht="15" x14ac:dyDescent="0.2">
      <c r="A29" s="1139"/>
      <c r="B29" s="1424"/>
      <c r="C29" s="1425"/>
      <c r="D29" s="1425"/>
      <c r="E29" s="1426">
        <f t="shared" si="0"/>
        <v>0</v>
      </c>
      <c r="F29" s="1406" t="str">
        <f t="shared" si="1"/>
        <v/>
      </c>
      <c r="G29" s="1424"/>
      <c r="H29" s="1427"/>
      <c r="I29" s="1139"/>
      <c r="J29" s="1137"/>
      <c r="K29" s="1137"/>
      <c r="L29" s="1139"/>
      <c r="M29" s="1139"/>
      <c r="N29" s="1137"/>
      <c r="O29" s="1137"/>
      <c r="P29" s="1139"/>
      <c r="Q29" s="1137"/>
      <c r="R29" s="1429"/>
      <c r="S29" s="1139"/>
    </row>
    <row r="30" spans="1:20" s="1138" customFormat="1" ht="15" x14ac:dyDescent="0.2">
      <c r="A30" s="1139"/>
      <c r="B30" s="1424"/>
      <c r="C30" s="1425"/>
      <c r="D30" s="1425"/>
      <c r="E30" s="1426">
        <f t="shared" si="0"/>
        <v>0</v>
      </c>
      <c r="F30" s="1406" t="str">
        <f t="shared" si="1"/>
        <v/>
      </c>
      <c r="G30" s="1424"/>
      <c r="H30" s="1427"/>
      <c r="I30" s="1139"/>
      <c r="J30" s="1137"/>
      <c r="K30" s="1137"/>
      <c r="L30" s="1139"/>
      <c r="M30" s="1139"/>
      <c r="N30" s="1137"/>
      <c r="O30" s="1137"/>
      <c r="P30" s="1139"/>
      <c r="Q30" s="1137"/>
      <c r="R30" s="1429"/>
      <c r="S30" s="1139"/>
    </row>
    <row r="31" spans="1:20" s="1138" customFormat="1" ht="15" x14ac:dyDescent="0.2">
      <c r="A31" s="1139"/>
      <c r="B31" s="1424"/>
      <c r="C31" s="1425"/>
      <c r="D31" s="1425"/>
      <c r="E31" s="1426">
        <f t="shared" si="0"/>
        <v>0</v>
      </c>
      <c r="F31" s="1406" t="str">
        <f t="shared" si="1"/>
        <v/>
      </c>
      <c r="G31" s="1424"/>
      <c r="H31" s="1427"/>
      <c r="I31" s="1139"/>
      <c r="J31" s="1137"/>
      <c r="K31" s="1137"/>
      <c r="L31" s="1139"/>
      <c r="M31" s="1139"/>
      <c r="N31" s="1137"/>
      <c r="O31" s="1137"/>
      <c r="P31" s="1139"/>
      <c r="Q31" s="1137"/>
      <c r="R31" s="1429"/>
      <c r="S31" s="1139"/>
    </row>
    <row r="32" spans="1:20" s="1138" customFormat="1" ht="15" x14ac:dyDescent="0.2">
      <c r="A32" s="1139"/>
      <c r="B32" s="1424"/>
      <c r="C32" s="1425"/>
      <c r="D32" s="1425"/>
      <c r="E32" s="1426">
        <f t="shared" si="0"/>
        <v>0</v>
      </c>
      <c r="F32" s="1406" t="str">
        <f t="shared" si="1"/>
        <v/>
      </c>
      <c r="G32" s="1424"/>
      <c r="H32" s="1427"/>
      <c r="I32" s="1139"/>
      <c r="J32" s="1137"/>
      <c r="K32" s="1137"/>
      <c r="L32" s="1139"/>
      <c r="M32" s="1139"/>
      <c r="N32" s="1137"/>
      <c r="O32" s="1137"/>
      <c r="P32" s="1139"/>
      <c r="Q32" s="1137"/>
      <c r="R32" s="1429"/>
      <c r="S32" s="1139"/>
    </row>
    <row r="33" spans="1:20" s="1138" customFormat="1" ht="15" x14ac:dyDescent="0.2">
      <c r="A33" s="1139"/>
      <c r="B33" s="1424"/>
      <c r="C33" s="1425"/>
      <c r="D33" s="1425"/>
      <c r="E33" s="1426">
        <f t="shared" si="0"/>
        <v>0</v>
      </c>
      <c r="F33" s="1406" t="str">
        <f t="shared" si="1"/>
        <v/>
      </c>
      <c r="G33" s="1424"/>
      <c r="H33" s="1427"/>
      <c r="I33" s="1139"/>
      <c r="J33" s="1137"/>
      <c r="K33" s="1137"/>
      <c r="L33" s="1139"/>
      <c r="M33" s="1139"/>
      <c r="N33" s="1137"/>
      <c r="O33" s="1137"/>
      <c r="P33" s="1139"/>
      <c r="Q33" s="1137"/>
      <c r="R33" s="1429"/>
      <c r="S33" s="1139"/>
    </row>
    <row r="34" spans="1:20" s="1138" customFormat="1" ht="15" x14ac:dyDescent="0.2">
      <c r="A34" s="1139"/>
      <c r="B34" s="1424"/>
      <c r="C34" s="1425"/>
      <c r="D34" s="1425"/>
      <c r="E34" s="1426">
        <f t="shared" si="0"/>
        <v>0</v>
      </c>
      <c r="F34" s="1406" t="str">
        <f t="shared" si="1"/>
        <v/>
      </c>
      <c r="G34" s="1424"/>
      <c r="H34" s="1427"/>
      <c r="I34" s="1139"/>
      <c r="J34" s="1137"/>
      <c r="K34" s="1137"/>
      <c r="L34" s="1139"/>
      <c r="M34" s="1139"/>
      <c r="N34" s="1137"/>
      <c r="O34" s="1137"/>
      <c r="P34" s="1139"/>
      <c r="Q34" s="1137"/>
      <c r="R34" s="1429"/>
      <c r="S34" s="1139"/>
    </row>
    <row r="35" spans="1:20" s="1138" customFormat="1" ht="15" x14ac:dyDescent="0.2">
      <c r="A35" s="1139"/>
      <c r="B35" s="1424"/>
      <c r="C35" s="1425"/>
      <c r="D35" s="1425"/>
      <c r="E35" s="1426">
        <f t="shared" si="0"/>
        <v>0</v>
      </c>
      <c r="F35" s="1406" t="str">
        <f t="shared" si="1"/>
        <v/>
      </c>
      <c r="G35" s="1424"/>
      <c r="H35" s="1427"/>
      <c r="I35" s="1139"/>
      <c r="J35" s="1137"/>
      <c r="K35" s="1137"/>
      <c r="L35" s="1139"/>
      <c r="M35" s="1139"/>
      <c r="N35" s="1137"/>
      <c r="O35" s="1137"/>
      <c r="P35" s="1139"/>
      <c r="Q35" s="1137"/>
      <c r="R35" s="1429"/>
      <c r="S35" s="1139"/>
    </row>
    <row r="36" spans="1:20" s="1138" customFormat="1" ht="15" x14ac:dyDescent="0.2">
      <c r="A36" s="1139"/>
      <c r="B36" s="1424"/>
      <c r="C36" s="1425"/>
      <c r="D36" s="1425"/>
      <c r="E36" s="1426">
        <f t="shared" si="0"/>
        <v>0</v>
      </c>
      <c r="F36" s="1406" t="str">
        <f t="shared" si="1"/>
        <v/>
      </c>
      <c r="G36" s="1424"/>
      <c r="H36" s="1427"/>
      <c r="I36" s="1139"/>
      <c r="J36" s="1137"/>
      <c r="K36" s="1137"/>
      <c r="L36" s="1139"/>
      <c r="M36" s="1139"/>
      <c r="N36" s="1137"/>
      <c r="O36" s="1137"/>
      <c r="P36" s="1139"/>
      <c r="Q36" s="1137"/>
      <c r="R36" s="1429"/>
      <c r="S36" s="1139"/>
    </row>
    <row r="37" spans="1:20" s="1138" customFormat="1" ht="15" x14ac:dyDescent="0.2">
      <c r="A37" s="1139"/>
      <c r="B37" s="1424"/>
      <c r="C37" s="1425"/>
      <c r="D37" s="1425"/>
      <c r="E37" s="1426">
        <f t="shared" si="0"/>
        <v>0</v>
      </c>
      <c r="F37" s="1406" t="str">
        <f t="shared" si="1"/>
        <v/>
      </c>
      <c r="G37" s="1424"/>
      <c r="H37" s="1427"/>
      <c r="I37" s="1139"/>
      <c r="J37" s="1137"/>
      <c r="K37" s="1137"/>
      <c r="L37" s="1139"/>
      <c r="M37" s="1139"/>
      <c r="N37" s="1137"/>
      <c r="O37" s="1137"/>
      <c r="P37" s="1139"/>
      <c r="Q37" s="1137"/>
      <c r="R37" s="1429"/>
      <c r="S37" s="1139"/>
    </row>
    <row r="38" spans="1:20" s="1138" customFormat="1" ht="15" x14ac:dyDescent="0.2">
      <c r="A38" s="1139"/>
      <c r="B38" s="1424"/>
      <c r="C38" s="1425"/>
      <c r="D38" s="1425"/>
      <c r="E38" s="1426">
        <f t="shared" si="0"/>
        <v>0</v>
      </c>
      <c r="F38" s="1406" t="str">
        <f t="shared" si="1"/>
        <v/>
      </c>
      <c r="G38" s="1424"/>
      <c r="H38" s="1427"/>
      <c r="I38" s="1139"/>
      <c r="J38" s="1137"/>
      <c r="K38" s="1430"/>
      <c r="L38" s="1139"/>
      <c r="M38" s="1139"/>
      <c r="N38" s="1137"/>
      <c r="O38" s="1137"/>
      <c r="P38" s="1139"/>
      <c r="Q38" s="1137"/>
      <c r="R38" s="1429"/>
      <c r="S38" s="1139"/>
    </row>
    <row r="39" spans="1:20" s="1138" customFormat="1" ht="15" x14ac:dyDescent="0.2">
      <c r="A39" s="1139"/>
      <c r="B39" s="1424"/>
      <c r="C39" s="1425"/>
      <c r="D39" s="1425"/>
      <c r="E39" s="1426">
        <f t="shared" si="0"/>
        <v>0</v>
      </c>
      <c r="F39" s="1406" t="str">
        <f t="shared" si="1"/>
        <v/>
      </c>
      <c r="G39" s="1424"/>
      <c r="H39" s="1427"/>
      <c r="I39" s="1139"/>
      <c r="J39" s="1137"/>
      <c r="K39" s="1430"/>
      <c r="L39" s="1139"/>
      <c r="M39" s="1139"/>
      <c r="N39" s="1137"/>
      <c r="O39" s="1137"/>
      <c r="P39" s="1139"/>
      <c r="Q39" s="1137"/>
      <c r="R39" s="1429"/>
      <c r="S39" s="1139"/>
    </row>
    <row r="40" spans="1:20" s="1138" customFormat="1" ht="15" x14ac:dyDescent="0.2">
      <c r="A40" s="1139"/>
      <c r="B40" s="1424"/>
      <c r="C40" s="1425"/>
      <c r="D40" s="1425"/>
      <c r="E40" s="1426">
        <f t="shared" si="0"/>
        <v>0</v>
      </c>
      <c r="F40" s="1406" t="str">
        <f t="shared" si="1"/>
        <v/>
      </c>
      <c r="G40" s="1424"/>
      <c r="H40" s="1427"/>
      <c r="I40" s="1139"/>
      <c r="J40" s="1137"/>
      <c r="K40" s="1430"/>
      <c r="L40" s="1139"/>
      <c r="M40" s="1139"/>
      <c r="N40" s="1137"/>
      <c r="O40" s="1137"/>
      <c r="P40" s="1139"/>
      <c r="Q40" s="1137"/>
      <c r="R40" s="1429"/>
      <c r="S40" s="1139"/>
    </row>
    <row r="41" spans="1:20" s="1138" customFormat="1" ht="15" x14ac:dyDescent="0.2">
      <c r="A41" s="1139"/>
      <c r="B41" s="1424"/>
      <c r="C41" s="1425"/>
      <c r="D41" s="1425"/>
      <c r="E41" s="1426">
        <f t="shared" si="0"/>
        <v>0</v>
      </c>
      <c r="F41" s="1406" t="str">
        <f t="shared" si="1"/>
        <v/>
      </c>
      <c r="G41" s="1424"/>
      <c r="H41" s="1427"/>
      <c r="I41" s="1139"/>
      <c r="J41" s="1137"/>
      <c r="K41" s="1137"/>
      <c r="L41" s="1139"/>
      <c r="M41" s="1139"/>
      <c r="N41" s="1137"/>
      <c r="O41" s="1137"/>
      <c r="P41" s="1139"/>
      <c r="Q41" s="1137"/>
      <c r="R41" s="1429"/>
      <c r="S41" s="1139"/>
    </row>
    <row r="42" spans="1:20" s="1138" customFormat="1" ht="15" x14ac:dyDescent="0.2">
      <c r="A42" s="1139"/>
      <c r="B42" s="1424"/>
      <c r="C42" s="1425"/>
      <c r="D42" s="1425"/>
      <c r="E42" s="1426">
        <f t="shared" si="0"/>
        <v>0</v>
      </c>
      <c r="F42" s="1406" t="str">
        <f t="shared" si="1"/>
        <v/>
      </c>
      <c r="G42" s="1424"/>
      <c r="H42" s="1427"/>
      <c r="I42" s="1139"/>
      <c r="J42" s="1427"/>
      <c r="K42" s="1137"/>
      <c r="L42" s="1139"/>
      <c r="M42" s="1139"/>
      <c r="N42" s="1137"/>
      <c r="O42" s="1137"/>
      <c r="P42" s="1139"/>
      <c r="Q42" s="1137"/>
      <c r="R42" s="1429"/>
      <c r="S42" s="1139"/>
    </row>
    <row r="43" spans="1:20" s="1138" customFormat="1" ht="15" x14ac:dyDescent="0.2">
      <c r="A43" s="1139"/>
      <c r="B43" s="1424"/>
      <c r="C43" s="1425"/>
      <c r="D43" s="1425"/>
      <c r="E43" s="1426">
        <f t="shared" si="0"/>
        <v>0</v>
      </c>
      <c r="F43" s="1406" t="str">
        <f t="shared" si="1"/>
        <v/>
      </c>
      <c r="G43" s="1424"/>
      <c r="H43" s="1427"/>
      <c r="I43" s="1139"/>
      <c r="J43" s="1137"/>
      <c r="K43" s="1137"/>
      <c r="L43" s="1139"/>
      <c r="M43" s="1139"/>
      <c r="N43" s="1137"/>
      <c r="O43" s="1137"/>
      <c r="P43" s="1139"/>
      <c r="Q43" s="1137"/>
      <c r="R43" s="1429"/>
      <c r="S43" s="1139"/>
      <c r="T43" s="1138" t="s">
        <v>143</v>
      </c>
    </row>
    <row r="44" spans="1:20" s="1138" customFormat="1" ht="15" x14ac:dyDescent="0.2">
      <c r="A44" s="1139"/>
      <c r="B44" s="1424"/>
      <c r="C44" s="1425"/>
      <c r="D44" s="1425"/>
      <c r="E44" s="1426">
        <f t="shared" si="0"/>
        <v>0</v>
      </c>
      <c r="F44" s="1406" t="str">
        <f t="shared" si="1"/>
        <v/>
      </c>
      <c r="G44" s="1424"/>
      <c r="H44" s="1427"/>
      <c r="I44" s="1139"/>
      <c r="J44" s="1137"/>
      <c r="K44" s="1137"/>
      <c r="L44" s="1139"/>
      <c r="M44" s="1139"/>
      <c r="N44" s="1137"/>
      <c r="O44" s="1137"/>
      <c r="P44" s="1139"/>
      <c r="Q44" s="1137"/>
      <c r="R44" s="1429"/>
      <c r="S44" s="1139"/>
    </row>
    <row r="45" spans="1:20" s="1138" customFormat="1" ht="15" x14ac:dyDescent="0.2">
      <c r="A45" s="1139"/>
      <c r="B45" s="1424"/>
      <c r="C45" s="1425"/>
      <c r="D45" s="1425"/>
      <c r="E45" s="1426">
        <f t="shared" si="0"/>
        <v>0</v>
      </c>
      <c r="F45" s="1406" t="str">
        <f t="shared" si="1"/>
        <v/>
      </c>
      <c r="G45" s="1424"/>
      <c r="H45" s="1427"/>
      <c r="I45" s="1139"/>
      <c r="J45" s="1428"/>
      <c r="K45" s="1137"/>
      <c r="L45" s="1139"/>
      <c r="M45" s="1139"/>
      <c r="N45" s="1137"/>
      <c r="O45" s="1137"/>
      <c r="P45" s="1139"/>
      <c r="Q45" s="1137"/>
      <c r="R45" s="1429"/>
      <c r="S45" s="1139"/>
    </row>
    <row r="46" spans="1:20" s="1138" customFormat="1" ht="15" x14ac:dyDescent="0.2">
      <c r="A46" s="1139"/>
      <c r="B46" s="1424"/>
      <c r="C46" s="1425"/>
      <c r="D46" s="1425"/>
      <c r="E46" s="1426">
        <f t="shared" si="0"/>
        <v>0</v>
      </c>
      <c r="F46" s="1406" t="str">
        <f t="shared" si="1"/>
        <v/>
      </c>
      <c r="G46" s="1424"/>
      <c r="H46" s="1427"/>
      <c r="I46" s="1139"/>
      <c r="J46" s="1137"/>
      <c r="K46" s="1137"/>
      <c r="L46" s="1139"/>
      <c r="M46" s="1139"/>
      <c r="N46" s="1137"/>
      <c r="O46" s="1137"/>
      <c r="P46" s="1139"/>
      <c r="Q46" s="1137"/>
      <c r="R46" s="1429"/>
      <c r="S46" s="1139"/>
    </row>
    <row r="47" spans="1:20" s="1138" customFormat="1" ht="15" x14ac:dyDescent="0.2">
      <c r="A47" s="1139"/>
      <c r="B47" s="1424"/>
      <c r="C47" s="1425"/>
      <c r="D47" s="1425"/>
      <c r="E47" s="1426">
        <f t="shared" si="0"/>
        <v>0</v>
      </c>
      <c r="F47" s="1406" t="str">
        <f t="shared" si="1"/>
        <v/>
      </c>
      <c r="G47" s="1424"/>
      <c r="H47" s="1427"/>
      <c r="I47" s="1139"/>
      <c r="J47" s="1137"/>
      <c r="K47" s="1137"/>
      <c r="L47" s="1139"/>
      <c r="M47" s="1139"/>
      <c r="N47" s="1137"/>
      <c r="O47" s="1137"/>
      <c r="P47" s="1139"/>
      <c r="Q47" s="1137"/>
      <c r="R47" s="1429"/>
      <c r="S47" s="1139"/>
    </row>
    <row r="48" spans="1:20" s="1138" customFormat="1" ht="15" x14ac:dyDescent="0.2">
      <c r="A48" s="1139"/>
      <c r="B48" s="1424"/>
      <c r="C48" s="1425"/>
      <c r="D48" s="1425"/>
      <c r="E48" s="1426">
        <f t="shared" si="0"/>
        <v>0</v>
      </c>
      <c r="F48" s="1406" t="str">
        <f t="shared" si="1"/>
        <v/>
      </c>
      <c r="G48" s="1424"/>
      <c r="H48" s="1427"/>
      <c r="I48" s="1139"/>
      <c r="J48" s="1137"/>
      <c r="K48" s="1137"/>
      <c r="L48" s="1139"/>
      <c r="M48" s="1139"/>
      <c r="N48" s="1137"/>
      <c r="O48" s="1137"/>
      <c r="P48" s="1139"/>
      <c r="Q48" s="1137"/>
      <c r="R48" s="1429"/>
      <c r="S48" s="1139"/>
    </row>
    <row r="49" spans="1:19" s="1138" customFormat="1" ht="15" x14ac:dyDescent="0.2">
      <c r="A49" s="1139"/>
      <c r="B49" s="1424"/>
      <c r="C49" s="1425"/>
      <c r="D49" s="1425"/>
      <c r="E49" s="1426">
        <f t="shared" si="0"/>
        <v>0</v>
      </c>
      <c r="F49" s="1406" t="str">
        <f t="shared" si="1"/>
        <v/>
      </c>
      <c r="G49" s="1424"/>
      <c r="H49" s="1427"/>
      <c r="I49" s="1139"/>
      <c r="J49" s="1137"/>
      <c r="K49" s="1137"/>
      <c r="L49" s="1139"/>
      <c r="M49" s="1139"/>
      <c r="N49" s="1137"/>
      <c r="O49" s="1137"/>
      <c r="P49" s="1139"/>
      <c r="Q49" s="1137"/>
      <c r="R49" s="1429"/>
      <c r="S49" s="1139"/>
    </row>
    <row r="50" spans="1:19" s="1138" customFormat="1" ht="15" x14ac:dyDescent="0.2">
      <c r="A50" s="1139"/>
      <c r="B50" s="1424"/>
      <c r="C50" s="1425"/>
      <c r="D50" s="1425"/>
      <c r="E50" s="1426">
        <f t="shared" si="0"/>
        <v>0</v>
      </c>
      <c r="F50" s="1406" t="str">
        <f t="shared" si="1"/>
        <v/>
      </c>
      <c r="G50" s="1424"/>
      <c r="H50" s="1427"/>
      <c r="I50" s="1139"/>
      <c r="J50" s="1137"/>
      <c r="K50" s="1137"/>
      <c r="L50" s="1139"/>
      <c r="M50" s="1139"/>
      <c r="N50" s="1137"/>
      <c r="O50" s="1137"/>
      <c r="P50" s="1139"/>
      <c r="Q50" s="1137"/>
      <c r="R50" s="1429"/>
      <c r="S50" s="1139"/>
    </row>
    <row r="51" spans="1:19" s="1138" customFormat="1" ht="15" x14ac:dyDescent="0.2">
      <c r="A51" s="1139"/>
      <c r="B51" s="1424"/>
      <c r="C51" s="1425"/>
      <c r="D51" s="1425"/>
      <c r="E51" s="1426">
        <f t="shared" si="0"/>
        <v>0</v>
      </c>
      <c r="F51" s="1406" t="str">
        <f t="shared" si="1"/>
        <v/>
      </c>
      <c r="G51" s="1424"/>
      <c r="H51" s="1427"/>
      <c r="I51" s="1139"/>
      <c r="J51" s="1137"/>
      <c r="K51" s="1137"/>
      <c r="L51" s="1139"/>
      <c r="M51" s="1139"/>
      <c r="N51" s="1137"/>
      <c r="O51" s="1137"/>
      <c r="P51" s="1139"/>
      <c r="Q51" s="1137"/>
      <c r="R51" s="1429"/>
      <c r="S51" s="1139"/>
    </row>
    <row r="52" spans="1:19" s="1138" customFormat="1" ht="15" x14ac:dyDescent="0.2">
      <c r="A52" s="1139"/>
      <c r="B52" s="1424"/>
      <c r="C52" s="1425"/>
      <c r="D52" s="1425"/>
      <c r="E52" s="1426">
        <f t="shared" si="0"/>
        <v>0</v>
      </c>
      <c r="F52" s="1406" t="str">
        <f t="shared" si="1"/>
        <v/>
      </c>
      <c r="G52" s="1424"/>
      <c r="H52" s="1427"/>
      <c r="I52" s="1139"/>
      <c r="J52" s="1428"/>
      <c r="K52" s="1137"/>
      <c r="L52" s="1139"/>
      <c r="M52" s="1139"/>
      <c r="N52" s="1137"/>
      <c r="O52" s="1137"/>
      <c r="P52" s="1139"/>
      <c r="Q52" s="1137"/>
      <c r="R52" s="1429"/>
      <c r="S52" s="1139"/>
    </row>
    <row r="53" spans="1:19" s="1138" customFormat="1" ht="15" x14ac:dyDescent="0.2">
      <c r="A53" s="1139"/>
      <c r="B53" s="1424"/>
      <c r="C53" s="1425"/>
      <c r="D53" s="1425"/>
      <c r="E53" s="1426">
        <f t="shared" si="0"/>
        <v>0</v>
      </c>
      <c r="F53" s="1406" t="str">
        <f t="shared" si="1"/>
        <v/>
      </c>
      <c r="G53" s="1424"/>
      <c r="H53" s="1427"/>
      <c r="I53" s="1139"/>
      <c r="J53" s="1137"/>
      <c r="K53" s="1137"/>
      <c r="L53" s="1139"/>
      <c r="M53" s="1139"/>
      <c r="N53" s="1137"/>
      <c r="O53" s="1137"/>
      <c r="P53" s="1139"/>
      <c r="Q53" s="1137"/>
      <c r="R53" s="1429"/>
      <c r="S53" s="1139"/>
    </row>
    <row r="54" spans="1:19" s="1138" customFormat="1" ht="15" x14ac:dyDescent="0.2">
      <c r="A54" s="1139"/>
      <c r="B54" s="1424"/>
      <c r="C54" s="1425"/>
      <c r="D54" s="1425"/>
      <c r="E54" s="1426">
        <f t="shared" si="0"/>
        <v>0</v>
      </c>
      <c r="F54" s="1406" t="str">
        <f t="shared" si="1"/>
        <v/>
      </c>
      <c r="G54" s="1424"/>
      <c r="H54" s="1427"/>
      <c r="I54" s="1139"/>
      <c r="J54" s="1137"/>
      <c r="K54" s="1137"/>
      <c r="L54" s="1139"/>
      <c r="M54" s="1139"/>
      <c r="N54" s="1137"/>
      <c r="O54" s="1137"/>
      <c r="P54" s="1139"/>
      <c r="Q54" s="1137"/>
      <c r="R54" s="1429"/>
      <c r="S54" s="1139"/>
    </row>
    <row r="55" spans="1:19" s="1138" customFormat="1" ht="15" x14ac:dyDescent="0.2">
      <c r="A55" s="1139"/>
      <c r="B55" s="1424"/>
      <c r="C55" s="1425"/>
      <c r="D55" s="1425"/>
      <c r="E55" s="1426">
        <f t="shared" si="0"/>
        <v>0</v>
      </c>
      <c r="F55" s="1406" t="str">
        <f t="shared" si="1"/>
        <v/>
      </c>
      <c r="G55" s="1424"/>
      <c r="H55" s="1427"/>
      <c r="I55" s="1139"/>
      <c r="J55" s="1137"/>
      <c r="K55" s="1137"/>
      <c r="L55" s="1139"/>
      <c r="M55" s="1139"/>
      <c r="N55" s="1137"/>
      <c r="O55" s="1137"/>
      <c r="P55" s="1139"/>
      <c r="Q55" s="1137"/>
      <c r="R55" s="1429"/>
      <c r="S55" s="1139"/>
    </row>
    <row r="56" spans="1:19" s="1138" customFormat="1" ht="15" x14ac:dyDescent="0.2">
      <c r="A56" s="1139"/>
      <c r="B56" s="1424"/>
      <c r="C56" s="1425"/>
      <c r="D56" s="1425"/>
      <c r="E56" s="1426">
        <f t="shared" si="0"/>
        <v>0</v>
      </c>
      <c r="F56" s="1406" t="str">
        <f t="shared" si="1"/>
        <v/>
      </c>
      <c r="G56" s="1424"/>
      <c r="H56" s="1427"/>
      <c r="I56" s="1139"/>
      <c r="J56" s="1137"/>
      <c r="K56" s="1137"/>
      <c r="L56" s="1139"/>
      <c r="M56" s="1139"/>
      <c r="N56" s="1137"/>
      <c r="O56" s="1137"/>
      <c r="P56" s="1139"/>
      <c r="Q56" s="1137"/>
      <c r="R56" s="1429"/>
      <c r="S56" s="1139"/>
    </row>
    <row r="57" spans="1:19" s="1138" customFormat="1" ht="15" x14ac:dyDescent="0.2">
      <c r="A57" s="1139"/>
      <c r="B57" s="1424"/>
      <c r="C57" s="1425"/>
      <c r="D57" s="1425"/>
      <c r="E57" s="1426">
        <f t="shared" si="0"/>
        <v>0</v>
      </c>
      <c r="F57" s="1406" t="str">
        <f t="shared" si="1"/>
        <v/>
      </c>
      <c r="G57" s="1424"/>
      <c r="H57" s="1427"/>
      <c r="I57" s="1139"/>
      <c r="J57" s="1137"/>
      <c r="K57" s="1137"/>
      <c r="L57" s="1139"/>
      <c r="M57" s="1139"/>
      <c r="N57" s="1137"/>
      <c r="O57" s="1137"/>
      <c r="P57" s="1139"/>
      <c r="Q57" s="1137"/>
      <c r="R57" s="1429"/>
      <c r="S57" s="1139"/>
    </row>
    <row r="58" spans="1:19" s="1138" customFormat="1" ht="15" x14ac:dyDescent="0.2">
      <c r="A58" s="1139"/>
      <c r="B58" s="1424"/>
      <c r="C58" s="1425"/>
      <c r="D58" s="1425"/>
      <c r="E58" s="1426">
        <f t="shared" si="0"/>
        <v>0</v>
      </c>
      <c r="F58" s="1406" t="str">
        <f t="shared" si="1"/>
        <v/>
      </c>
      <c r="G58" s="1424"/>
      <c r="H58" s="1427"/>
      <c r="I58" s="1139"/>
      <c r="J58" s="1428"/>
      <c r="K58" s="1137"/>
      <c r="L58" s="1139"/>
      <c r="M58" s="1139"/>
      <c r="N58" s="1137"/>
      <c r="O58" s="1137"/>
      <c r="P58" s="1139"/>
      <c r="Q58" s="1137"/>
      <c r="R58" s="1429"/>
      <c r="S58" s="1139"/>
    </row>
    <row r="59" spans="1:19" s="1138" customFormat="1" ht="15" x14ac:dyDescent="0.2">
      <c r="A59" s="1139"/>
      <c r="B59" s="1424"/>
      <c r="C59" s="1425"/>
      <c r="D59" s="1425"/>
      <c r="E59" s="1426">
        <f t="shared" si="0"/>
        <v>0</v>
      </c>
      <c r="F59" s="1406" t="str">
        <f t="shared" si="1"/>
        <v/>
      </c>
      <c r="G59" s="1424"/>
      <c r="H59" s="1427"/>
      <c r="I59" s="1139"/>
      <c r="J59" s="1137"/>
      <c r="K59" s="1137"/>
      <c r="L59" s="1139"/>
      <c r="M59" s="1139"/>
      <c r="N59" s="1137"/>
      <c r="O59" s="1137"/>
      <c r="P59" s="1139"/>
      <c r="Q59" s="1137"/>
      <c r="R59" s="1429"/>
      <c r="S59" s="1139"/>
    </row>
    <row r="60" spans="1:19" s="1138" customFormat="1" ht="15" x14ac:dyDescent="0.2">
      <c r="A60" s="1139"/>
      <c r="B60" s="1424"/>
      <c r="C60" s="1425"/>
      <c r="D60" s="1425"/>
      <c r="E60" s="1426">
        <f t="shared" si="0"/>
        <v>0</v>
      </c>
      <c r="F60" s="1406" t="str">
        <f t="shared" si="1"/>
        <v/>
      </c>
      <c r="G60" s="1424"/>
      <c r="H60" s="1427"/>
      <c r="I60" s="1139"/>
      <c r="J60" s="1137"/>
      <c r="K60" s="1137"/>
      <c r="L60" s="1139"/>
      <c r="M60" s="1139"/>
      <c r="N60" s="1137"/>
      <c r="O60" s="1137"/>
      <c r="P60" s="1139"/>
      <c r="Q60" s="1137"/>
      <c r="R60" s="1429"/>
      <c r="S60" s="1139"/>
    </row>
    <row r="61" spans="1:19" s="1138" customFormat="1" ht="15" x14ac:dyDescent="0.2">
      <c r="A61" s="1139"/>
      <c r="B61" s="1424"/>
      <c r="C61" s="1425"/>
      <c r="D61" s="1425"/>
      <c r="E61" s="1426">
        <f t="shared" si="0"/>
        <v>0</v>
      </c>
      <c r="F61" s="1406" t="str">
        <f t="shared" si="1"/>
        <v/>
      </c>
      <c r="G61" s="1424"/>
      <c r="H61" s="1427"/>
      <c r="I61" s="1139"/>
      <c r="J61" s="1137"/>
      <c r="K61" s="1137"/>
      <c r="L61" s="1139"/>
      <c r="M61" s="1139"/>
      <c r="N61" s="1137"/>
      <c r="O61" s="1137"/>
      <c r="P61" s="1139"/>
      <c r="Q61" s="1137"/>
      <c r="R61" s="1429"/>
      <c r="S61" s="1139"/>
    </row>
    <row r="62" spans="1:19" s="1138" customFormat="1" ht="15" x14ac:dyDescent="0.2">
      <c r="A62" s="1139"/>
      <c r="B62" s="1424"/>
      <c r="C62" s="1425"/>
      <c r="D62" s="1425"/>
      <c r="E62" s="1426">
        <f t="shared" si="0"/>
        <v>0</v>
      </c>
      <c r="F62" s="1406" t="str">
        <f t="shared" si="1"/>
        <v/>
      </c>
      <c r="G62" s="1424"/>
      <c r="H62" s="1427"/>
      <c r="I62" s="1139"/>
      <c r="J62" s="1428"/>
      <c r="K62" s="1137"/>
      <c r="L62" s="1139"/>
      <c r="M62" s="1139"/>
      <c r="N62" s="1137"/>
      <c r="O62" s="1137"/>
      <c r="P62" s="1139"/>
      <c r="Q62" s="1137"/>
      <c r="R62" s="1429"/>
      <c r="S62" s="1139"/>
    </row>
    <row r="63" spans="1:19" s="1138" customFormat="1" ht="15" x14ac:dyDescent="0.2">
      <c r="A63" s="1139"/>
      <c r="B63" s="1424"/>
      <c r="C63" s="1425"/>
      <c r="D63" s="1425"/>
      <c r="E63" s="1426">
        <f t="shared" si="0"/>
        <v>0</v>
      </c>
      <c r="F63" s="1406" t="str">
        <f t="shared" si="1"/>
        <v/>
      </c>
      <c r="G63" s="1424"/>
      <c r="H63" s="1427"/>
      <c r="I63" s="1139"/>
      <c r="J63" s="1137"/>
      <c r="K63" s="1137"/>
      <c r="L63" s="1139"/>
      <c r="M63" s="1139"/>
      <c r="N63" s="1137"/>
      <c r="O63" s="1137"/>
      <c r="P63" s="1139"/>
      <c r="Q63" s="1137"/>
      <c r="R63" s="1429"/>
      <c r="S63" s="1139"/>
    </row>
    <row r="64" spans="1:19" s="1138" customFormat="1" ht="15" x14ac:dyDescent="0.2">
      <c r="A64" s="1139"/>
      <c r="B64" s="1424"/>
      <c r="C64" s="1425"/>
      <c r="D64" s="1425"/>
      <c r="E64" s="1426">
        <f t="shared" si="0"/>
        <v>0</v>
      </c>
      <c r="F64" s="1406" t="str">
        <f t="shared" si="1"/>
        <v/>
      </c>
      <c r="G64" s="1424"/>
      <c r="H64" s="1427"/>
      <c r="I64" s="1139"/>
      <c r="J64" s="1137"/>
      <c r="K64" s="1137"/>
      <c r="L64" s="1139"/>
      <c r="M64" s="1139"/>
      <c r="N64" s="1137"/>
      <c r="O64" s="1137"/>
      <c r="P64" s="1139"/>
      <c r="Q64" s="1137"/>
      <c r="R64" s="1429"/>
      <c r="S64" s="1139"/>
    </row>
    <row r="65" spans="1:19" s="1138" customFormat="1" ht="15" x14ac:dyDescent="0.2">
      <c r="A65" s="1139"/>
      <c r="B65" s="1424"/>
      <c r="C65" s="1425"/>
      <c r="D65" s="1425"/>
      <c r="E65" s="1426">
        <f t="shared" si="0"/>
        <v>0</v>
      </c>
      <c r="F65" s="1406" t="str">
        <f t="shared" si="1"/>
        <v/>
      </c>
      <c r="G65" s="1424"/>
      <c r="H65" s="1427"/>
      <c r="I65" s="1139"/>
      <c r="J65" s="1428"/>
      <c r="K65" s="1137"/>
      <c r="L65" s="1139"/>
      <c r="M65" s="1139"/>
      <c r="N65" s="1137"/>
      <c r="O65" s="1137"/>
      <c r="P65" s="1139"/>
      <c r="Q65" s="1137"/>
      <c r="R65" s="1429"/>
      <c r="S65" s="1139"/>
    </row>
    <row r="66" spans="1:19" s="1138" customFormat="1" ht="15" x14ac:dyDescent="0.2">
      <c r="A66" s="1139"/>
      <c r="B66" s="1424"/>
      <c r="C66" s="1425"/>
      <c r="D66" s="1425"/>
      <c r="E66" s="1426">
        <f t="shared" si="0"/>
        <v>0</v>
      </c>
      <c r="F66" s="1406" t="str">
        <f t="shared" si="1"/>
        <v/>
      </c>
      <c r="G66" s="1424"/>
      <c r="H66" s="1427"/>
      <c r="I66" s="1139"/>
      <c r="J66" s="1137"/>
      <c r="K66" s="1137"/>
      <c r="L66" s="1139"/>
      <c r="M66" s="1139"/>
      <c r="N66" s="1137"/>
      <c r="O66" s="1137"/>
      <c r="P66" s="1139"/>
      <c r="Q66" s="1137"/>
      <c r="R66" s="1429"/>
      <c r="S66" s="1139"/>
    </row>
    <row r="67" spans="1:19" s="1138" customFormat="1" ht="15" x14ac:dyDescent="0.2">
      <c r="A67" s="1139"/>
      <c r="B67" s="1424"/>
      <c r="C67" s="1425"/>
      <c r="D67" s="1425"/>
      <c r="E67" s="1426">
        <f t="shared" si="0"/>
        <v>0</v>
      </c>
      <c r="F67" s="1406" t="str">
        <f t="shared" si="1"/>
        <v/>
      </c>
      <c r="G67" s="1424"/>
      <c r="H67" s="1427"/>
      <c r="I67" s="1139"/>
      <c r="J67" s="1137"/>
      <c r="K67" s="1137"/>
      <c r="L67" s="1139"/>
      <c r="M67" s="1139"/>
      <c r="N67" s="1137"/>
      <c r="O67" s="1137"/>
      <c r="P67" s="1139"/>
      <c r="Q67" s="1137"/>
      <c r="R67" s="1429"/>
      <c r="S67" s="1139"/>
    </row>
    <row r="68" spans="1:19" s="1138" customFormat="1" ht="15" x14ac:dyDescent="0.2">
      <c r="A68" s="1139"/>
      <c r="B68" s="1424"/>
      <c r="C68" s="1425"/>
      <c r="D68" s="1425"/>
      <c r="E68" s="1426">
        <f t="shared" si="0"/>
        <v>0</v>
      </c>
      <c r="F68" s="1406" t="str">
        <f t="shared" si="1"/>
        <v/>
      </c>
      <c r="G68" s="1424"/>
      <c r="H68" s="1427"/>
      <c r="I68" s="1139"/>
      <c r="J68" s="1137"/>
      <c r="K68" s="1430"/>
      <c r="L68" s="1139"/>
      <c r="M68" s="1139"/>
      <c r="N68" s="1137"/>
      <c r="O68" s="1137"/>
      <c r="P68" s="1139"/>
      <c r="Q68" s="1137"/>
      <c r="R68" s="1429"/>
      <c r="S68" s="1139"/>
    </row>
    <row r="69" spans="1:19" s="1138" customFormat="1" ht="15" x14ac:dyDescent="0.2">
      <c r="A69" s="1139"/>
      <c r="B69" s="1424"/>
      <c r="C69" s="1425"/>
      <c r="D69" s="1425"/>
      <c r="E69" s="1426">
        <f t="shared" si="0"/>
        <v>0</v>
      </c>
      <c r="F69" s="1406" t="str">
        <f t="shared" si="1"/>
        <v/>
      </c>
      <c r="G69" s="1424"/>
      <c r="H69" s="1427"/>
      <c r="I69" s="1139"/>
      <c r="J69" s="1428"/>
      <c r="K69" s="1430"/>
      <c r="L69" s="1139"/>
      <c r="M69" s="1139"/>
      <c r="N69" s="1137"/>
      <c r="O69" s="1137"/>
      <c r="P69" s="1139"/>
      <c r="Q69" s="1137"/>
      <c r="R69" s="1429"/>
      <c r="S69" s="1139"/>
    </row>
    <row r="70" spans="1:19" s="1138" customFormat="1" ht="15" x14ac:dyDescent="0.2">
      <c r="A70" s="1139"/>
      <c r="B70" s="1424"/>
      <c r="C70" s="1425"/>
      <c r="D70" s="1425"/>
      <c r="E70" s="1426">
        <f t="shared" si="0"/>
        <v>0</v>
      </c>
      <c r="F70" s="1406" t="str">
        <f t="shared" si="1"/>
        <v/>
      </c>
      <c r="G70" s="1424"/>
      <c r="H70" s="1427"/>
      <c r="I70" s="1139"/>
      <c r="J70" s="1428"/>
      <c r="K70" s="1137"/>
      <c r="L70" s="1139"/>
      <c r="M70" s="1139"/>
      <c r="N70" s="1137"/>
      <c r="O70" s="1137"/>
      <c r="P70" s="1139"/>
      <c r="Q70" s="1137"/>
      <c r="R70" s="1429"/>
      <c r="S70" s="1139"/>
    </row>
    <row r="71" spans="1:19" s="1138" customFormat="1" ht="15" x14ac:dyDescent="0.2">
      <c r="A71" s="1139"/>
      <c r="B71" s="1424"/>
      <c r="C71" s="1425"/>
      <c r="D71" s="1425"/>
      <c r="E71" s="1426">
        <f t="shared" si="0"/>
        <v>0</v>
      </c>
      <c r="F71" s="1406" t="str">
        <f t="shared" si="1"/>
        <v/>
      </c>
      <c r="G71" s="1424"/>
      <c r="H71" s="1427"/>
      <c r="I71" s="1139"/>
      <c r="J71" s="1137"/>
      <c r="K71" s="1137"/>
      <c r="L71" s="1139"/>
      <c r="M71" s="1139"/>
      <c r="N71" s="1137"/>
      <c r="O71" s="1137"/>
      <c r="P71" s="1139"/>
      <c r="Q71" s="1137"/>
      <c r="R71" s="1429"/>
      <c r="S71" s="1139"/>
    </row>
    <row r="72" spans="1:19" s="1138" customFormat="1" ht="15" x14ac:dyDescent="0.2">
      <c r="A72" s="1139"/>
      <c r="B72" s="1424"/>
      <c r="C72" s="1425"/>
      <c r="D72" s="1425"/>
      <c r="E72" s="1426">
        <f t="shared" si="0"/>
        <v>0</v>
      </c>
      <c r="F72" s="1406" t="str">
        <f t="shared" si="1"/>
        <v/>
      </c>
      <c r="G72" s="1424"/>
      <c r="H72" s="1427"/>
      <c r="I72" s="1139"/>
      <c r="J72" s="1137"/>
      <c r="K72" s="1137"/>
      <c r="L72" s="1139"/>
      <c r="M72" s="1139"/>
      <c r="N72" s="1137"/>
      <c r="O72" s="1137"/>
      <c r="P72" s="1139"/>
      <c r="Q72" s="1137"/>
      <c r="R72" s="1429"/>
      <c r="S72" s="1139"/>
    </row>
    <row r="73" spans="1:19" s="1138" customFormat="1" ht="15" x14ac:dyDescent="0.2">
      <c r="A73" s="1139"/>
      <c r="B73" s="1424"/>
      <c r="C73" s="1425"/>
      <c r="D73" s="1425"/>
      <c r="E73" s="1426">
        <f t="shared" si="0"/>
        <v>0</v>
      </c>
      <c r="F73" s="1406" t="str">
        <f t="shared" si="1"/>
        <v/>
      </c>
      <c r="G73" s="1424"/>
      <c r="H73" s="1427"/>
      <c r="I73" s="1139"/>
      <c r="J73" s="1137"/>
      <c r="K73" s="1137"/>
      <c r="L73" s="1139"/>
      <c r="M73" s="1139"/>
      <c r="N73" s="1137"/>
      <c r="O73" s="1137"/>
      <c r="P73" s="1139"/>
      <c r="Q73" s="1137"/>
      <c r="R73" s="1429"/>
      <c r="S73" s="1139"/>
    </row>
    <row r="74" spans="1:19" s="1138" customFormat="1" ht="15" x14ac:dyDescent="0.2">
      <c r="A74" s="1139"/>
      <c r="B74" s="1424"/>
      <c r="C74" s="1425"/>
      <c r="D74" s="1425"/>
      <c r="E74" s="1426">
        <f t="shared" si="0"/>
        <v>0</v>
      </c>
      <c r="F74" s="1406" t="str">
        <f t="shared" si="1"/>
        <v/>
      </c>
      <c r="G74" s="1424"/>
      <c r="H74" s="1427"/>
      <c r="I74" s="1139"/>
      <c r="J74" s="1137"/>
      <c r="K74" s="1137"/>
      <c r="L74" s="1139"/>
      <c r="M74" s="1139"/>
      <c r="N74" s="1137"/>
      <c r="O74" s="1137"/>
      <c r="P74" s="1139"/>
      <c r="Q74" s="1137"/>
      <c r="R74" s="1429"/>
      <c r="S74" s="1139"/>
    </row>
    <row r="75" spans="1:19" s="1138" customFormat="1" ht="15" x14ac:dyDescent="0.2">
      <c r="A75" s="1139"/>
      <c r="B75" s="1424"/>
      <c r="C75" s="1425"/>
      <c r="D75" s="1425"/>
      <c r="E75" s="1426">
        <f t="shared" si="0"/>
        <v>0</v>
      </c>
      <c r="F75" s="1406" t="str">
        <f t="shared" si="1"/>
        <v/>
      </c>
      <c r="G75" s="1424"/>
      <c r="H75" s="1427"/>
      <c r="I75" s="1139"/>
      <c r="J75" s="1137"/>
      <c r="K75" s="1137"/>
      <c r="L75" s="1139"/>
      <c r="M75" s="1139"/>
      <c r="N75" s="1137"/>
      <c r="O75" s="1137"/>
      <c r="P75" s="1139"/>
      <c r="Q75" s="1137"/>
      <c r="R75" s="1429"/>
      <c r="S75" s="1139"/>
    </row>
    <row r="76" spans="1:19" s="1138" customFormat="1" ht="15" x14ac:dyDescent="0.2">
      <c r="A76" s="1139"/>
      <c r="B76" s="1424"/>
      <c r="C76" s="1425"/>
      <c r="D76" s="1425"/>
      <c r="E76" s="1426">
        <f t="shared" si="0"/>
        <v>0</v>
      </c>
      <c r="F76" s="1406" t="str">
        <f t="shared" si="1"/>
        <v/>
      </c>
      <c r="G76" s="1424"/>
      <c r="H76" s="1427"/>
      <c r="I76" s="1139"/>
      <c r="J76" s="1137"/>
      <c r="K76" s="1137"/>
      <c r="L76" s="1139"/>
      <c r="M76" s="1139"/>
      <c r="N76" s="1137"/>
      <c r="O76" s="1137"/>
      <c r="P76" s="1139"/>
      <c r="Q76" s="1137"/>
      <c r="R76" s="1429"/>
      <c r="S76" s="1139"/>
    </row>
    <row r="77" spans="1:19" s="1138" customFormat="1" ht="15" x14ac:dyDescent="0.2">
      <c r="A77" s="1139"/>
      <c r="B77" s="1424"/>
      <c r="C77" s="1425"/>
      <c r="D77" s="1425"/>
      <c r="E77" s="1426">
        <f t="shared" ref="E77:E112" si="2">+C77-D77</f>
        <v>0</v>
      </c>
      <c r="F77" s="1406" t="str">
        <f t="shared" ref="F77:F112" si="3">IF(C77="","",+(C77-D77)/D77)</f>
        <v/>
      </c>
      <c r="G77" s="1424"/>
      <c r="H77" s="1427"/>
      <c r="I77" s="1139"/>
      <c r="J77" s="1137"/>
      <c r="K77" s="1137"/>
      <c r="L77" s="1139"/>
      <c r="M77" s="1139"/>
      <c r="N77" s="1137"/>
      <c r="O77" s="1137"/>
      <c r="P77" s="1139"/>
      <c r="Q77" s="1137"/>
      <c r="R77" s="1429"/>
      <c r="S77" s="1139"/>
    </row>
    <row r="78" spans="1:19" s="1138" customFormat="1" ht="15" x14ac:dyDescent="0.2">
      <c r="A78" s="1139"/>
      <c r="B78" s="1424"/>
      <c r="C78" s="1425"/>
      <c r="D78" s="1425"/>
      <c r="E78" s="1426">
        <f t="shared" si="2"/>
        <v>0</v>
      </c>
      <c r="F78" s="1406" t="str">
        <f t="shared" si="3"/>
        <v/>
      </c>
      <c r="G78" s="1424"/>
      <c r="H78" s="1427"/>
      <c r="I78" s="1139"/>
      <c r="J78" s="1137"/>
      <c r="K78" s="1137"/>
      <c r="L78" s="1139"/>
      <c r="M78" s="1139"/>
      <c r="N78" s="1137"/>
      <c r="O78" s="1137"/>
      <c r="P78" s="1139"/>
      <c r="Q78" s="1137"/>
      <c r="R78" s="1429"/>
      <c r="S78" s="1139"/>
    </row>
    <row r="79" spans="1:19" s="1138" customFormat="1" ht="15" x14ac:dyDescent="0.2">
      <c r="A79" s="1139"/>
      <c r="B79" s="1424"/>
      <c r="C79" s="1425"/>
      <c r="D79" s="1425"/>
      <c r="E79" s="1426">
        <f t="shared" si="2"/>
        <v>0</v>
      </c>
      <c r="F79" s="1406" t="str">
        <f t="shared" si="3"/>
        <v/>
      </c>
      <c r="G79" s="1424"/>
      <c r="H79" s="1427"/>
      <c r="I79" s="1139"/>
      <c r="J79" s="1137"/>
      <c r="K79" s="1137"/>
      <c r="L79" s="1139"/>
      <c r="M79" s="1139"/>
      <c r="N79" s="1137"/>
      <c r="O79" s="1137"/>
      <c r="P79" s="1139"/>
      <c r="Q79" s="1137"/>
      <c r="R79" s="1429"/>
      <c r="S79" s="1139"/>
    </row>
    <row r="80" spans="1:19" s="1138" customFormat="1" ht="15" x14ac:dyDescent="0.2">
      <c r="A80" s="1139"/>
      <c r="B80" s="1424"/>
      <c r="C80" s="1425"/>
      <c r="D80" s="1425"/>
      <c r="E80" s="1426">
        <f t="shared" si="2"/>
        <v>0</v>
      </c>
      <c r="F80" s="1406" t="str">
        <f t="shared" si="3"/>
        <v/>
      </c>
      <c r="G80" s="1424"/>
      <c r="H80" s="1427"/>
      <c r="I80" s="1139"/>
      <c r="J80" s="1137"/>
      <c r="K80" s="1137"/>
      <c r="L80" s="1139"/>
      <c r="M80" s="1139"/>
      <c r="N80" s="1137"/>
      <c r="O80" s="1137"/>
      <c r="P80" s="1139"/>
      <c r="Q80" s="1137"/>
      <c r="R80" s="1429"/>
      <c r="S80" s="1139"/>
    </row>
    <row r="81" spans="1:19" s="1138" customFormat="1" ht="15" x14ac:dyDescent="0.2">
      <c r="A81" s="1139"/>
      <c r="B81" s="1424"/>
      <c r="C81" s="1425"/>
      <c r="D81" s="1425"/>
      <c r="E81" s="1426">
        <f t="shared" si="2"/>
        <v>0</v>
      </c>
      <c r="F81" s="1406" t="str">
        <f t="shared" si="3"/>
        <v/>
      </c>
      <c r="G81" s="1424"/>
      <c r="H81" s="1427"/>
      <c r="I81" s="1139"/>
      <c r="J81" s="1137"/>
      <c r="K81" s="1137"/>
      <c r="L81" s="1139"/>
      <c r="M81" s="1139"/>
      <c r="N81" s="1137"/>
      <c r="O81" s="1137"/>
      <c r="P81" s="1139"/>
      <c r="Q81" s="1137"/>
      <c r="R81" s="1429"/>
      <c r="S81" s="1139"/>
    </row>
    <row r="82" spans="1:19" s="1138" customFormat="1" ht="15" x14ac:dyDescent="0.2">
      <c r="A82" s="1139"/>
      <c r="B82" s="1424"/>
      <c r="C82" s="1425"/>
      <c r="D82" s="1425"/>
      <c r="E82" s="1426">
        <f t="shared" si="2"/>
        <v>0</v>
      </c>
      <c r="F82" s="1406" t="str">
        <f t="shared" si="3"/>
        <v/>
      </c>
      <c r="G82" s="1424"/>
      <c r="H82" s="1427"/>
      <c r="I82" s="1139"/>
      <c r="J82" s="1137"/>
      <c r="K82" s="1137"/>
      <c r="L82" s="1139"/>
      <c r="M82" s="1139"/>
      <c r="N82" s="1137"/>
      <c r="O82" s="1137"/>
      <c r="P82" s="1139"/>
      <c r="Q82" s="1137"/>
      <c r="R82" s="1429"/>
      <c r="S82" s="1139"/>
    </row>
    <row r="83" spans="1:19" s="1138" customFormat="1" ht="15" x14ac:dyDescent="0.2">
      <c r="A83" s="1139"/>
      <c r="B83" s="1424"/>
      <c r="C83" s="1425"/>
      <c r="D83" s="1425"/>
      <c r="E83" s="1426">
        <f t="shared" si="2"/>
        <v>0</v>
      </c>
      <c r="F83" s="1406" t="str">
        <f t="shared" si="3"/>
        <v/>
      </c>
      <c r="G83" s="1424"/>
      <c r="H83" s="1427"/>
      <c r="I83" s="1139"/>
      <c r="J83" s="1137"/>
      <c r="K83" s="1137"/>
      <c r="L83" s="1139"/>
      <c r="M83" s="1139"/>
      <c r="N83" s="1137"/>
      <c r="O83" s="1137"/>
      <c r="P83" s="1139"/>
      <c r="Q83" s="1137"/>
      <c r="R83" s="1429"/>
      <c r="S83" s="1139"/>
    </row>
    <row r="84" spans="1:19" s="1138" customFormat="1" ht="15" x14ac:dyDescent="0.2">
      <c r="A84" s="1139"/>
      <c r="B84" s="1424"/>
      <c r="C84" s="1425"/>
      <c r="D84" s="1425"/>
      <c r="E84" s="1426">
        <f t="shared" si="2"/>
        <v>0</v>
      </c>
      <c r="F84" s="1406" t="str">
        <f t="shared" si="3"/>
        <v/>
      </c>
      <c r="G84" s="1424"/>
      <c r="H84" s="1427"/>
      <c r="I84" s="1139"/>
      <c r="J84" s="1137"/>
      <c r="K84" s="1137"/>
      <c r="L84" s="1139"/>
      <c r="M84" s="1139"/>
      <c r="N84" s="1137"/>
      <c r="O84" s="1137"/>
      <c r="P84" s="1139"/>
      <c r="Q84" s="1137"/>
      <c r="R84" s="1429"/>
      <c r="S84" s="1139"/>
    </row>
    <row r="85" spans="1:19" s="1138" customFormat="1" ht="15" x14ac:dyDescent="0.2">
      <c r="A85" s="1139"/>
      <c r="B85" s="1424"/>
      <c r="C85" s="1425"/>
      <c r="D85" s="1425"/>
      <c r="E85" s="1426">
        <f t="shared" si="2"/>
        <v>0</v>
      </c>
      <c r="F85" s="1406" t="str">
        <f t="shared" si="3"/>
        <v/>
      </c>
      <c r="G85" s="1424"/>
      <c r="H85" s="1427"/>
      <c r="I85" s="1139"/>
      <c r="J85" s="1137"/>
      <c r="K85" s="1137"/>
      <c r="L85" s="1139"/>
      <c r="M85" s="1139"/>
      <c r="N85" s="1137"/>
      <c r="O85" s="1137"/>
      <c r="P85" s="1139"/>
      <c r="Q85" s="1137"/>
      <c r="R85" s="1429"/>
      <c r="S85" s="1139"/>
    </row>
    <row r="86" spans="1:19" s="1138" customFormat="1" ht="15" x14ac:dyDescent="0.2">
      <c r="A86" s="1139"/>
      <c r="B86" s="1424"/>
      <c r="C86" s="1425"/>
      <c r="D86" s="1425"/>
      <c r="E86" s="1426">
        <f t="shared" si="2"/>
        <v>0</v>
      </c>
      <c r="F86" s="1406" t="str">
        <f t="shared" si="3"/>
        <v/>
      </c>
      <c r="G86" s="1424"/>
      <c r="H86" s="1427"/>
      <c r="I86" s="1139"/>
      <c r="J86" s="1137"/>
      <c r="K86" s="1137"/>
      <c r="L86" s="1139"/>
      <c r="M86" s="1139"/>
      <c r="N86" s="1137"/>
      <c r="O86" s="1137"/>
      <c r="P86" s="1139"/>
      <c r="Q86" s="1137"/>
      <c r="R86" s="1429"/>
      <c r="S86" s="1139"/>
    </row>
    <row r="87" spans="1:19" s="1138" customFormat="1" ht="15" x14ac:dyDescent="0.2">
      <c r="A87" s="1139"/>
      <c r="B87" s="1424"/>
      <c r="C87" s="1425"/>
      <c r="D87" s="1425"/>
      <c r="E87" s="1426">
        <f t="shared" si="2"/>
        <v>0</v>
      </c>
      <c r="F87" s="1406" t="str">
        <f t="shared" si="3"/>
        <v/>
      </c>
      <c r="G87" s="1424"/>
      <c r="H87" s="1427"/>
      <c r="I87" s="1139"/>
      <c r="J87" s="1137"/>
      <c r="K87" s="1137"/>
      <c r="L87" s="1139"/>
      <c r="M87" s="1139"/>
      <c r="N87" s="1137"/>
      <c r="O87" s="1137"/>
      <c r="P87" s="1139"/>
      <c r="Q87" s="1137"/>
      <c r="R87" s="1429"/>
      <c r="S87" s="1139"/>
    </row>
    <row r="88" spans="1:19" s="1138" customFormat="1" ht="15" x14ac:dyDescent="0.2">
      <c r="A88" s="1139"/>
      <c r="B88" s="1424"/>
      <c r="C88" s="1425"/>
      <c r="D88" s="1425"/>
      <c r="E88" s="1426">
        <f t="shared" si="2"/>
        <v>0</v>
      </c>
      <c r="F88" s="1406" t="str">
        <f t="shared" si="3"/>
        <v/>
      </c>
      <c r="G88" s="1424"/>
      <c r="H88" s="1427"/>
      <c r="I88" s="1139"/>
      <c r="J88" s="1137"/>
      <c r="K88" s="1137"/>
      <c r="L88" s="1139"/>
      <c r="M88" s="1139"/>
      <c r="N88" s="1137"/>
      <c r="O88" s="1137"/>
      <c r="P88" s="1139"/>
      <c r="Q88" s="1137"/>
      <c r="R88" s="1429"/>
      <c r="S88" s="1139"/>
    </row>
    <row r="89" spans="1:19" s="1138" customFormat="1" ht="15" x14ac:dyDescent="0.2">
      <c r="A89" s="1139"/>
      <c r="B89" s="1424"/>
      <c r="C89" s="1425"/>
      <c r="D89" s="1425"/>
      <c r="E89" s="1426">
        <f t="shared" si="2"/>
        <v>0</v>
      </c>
      <c r="F89" s="1406" t="str">
        <f t="shared" si="3"/>
        <v/>
      </c>
      <c r="G89" s="1424"/>
      <c r="H89" s="1427"/>
      <c r="I89" s="1139"/>
      <c r="J89" s="1137"/>
      <c r="K89" s="1137"/>
      <c r="L89" s="1139"/>
      <c r="M89" s="1139"/>
      <c r="N89" s="1137"/>
      <c r="O89" s="1137"/>
      <c r="P89" s="1139"/>
      <c r="Q89" s="1137"/>
      <c r="R89" s="1429"/>
      <c r="S89" s="1139"/>
    </row>
    <row r="90" spans="1:19" s="1138" customFormat="1" ht="15" x14ac:dyDescent="0.2">
      <c r="A90" s="1139"/>
      <c r="B90" s="1424"/>
      <c r="C90" s="1425"/>
      <c r="D90" s="1425"/>
      <c r="E90" s="1426">
        <f t="shared" si="2"/>
        <v>0</v>
      </c>
      <c r="F90" s="1406" t="str">
        <f t="shared" si="3"/>
        <v/>
      </c>
      <c r="G90" s="1424"/>
      <c r="H90" s="1427"/>
      <c r="I90" s="1139"/>
      <c r="J90" s="1137"/>
      <c r="K90" s="1137"/>
      <c r="L90" s="1139"/>
      <c r="M90" s="1139"/>
      <c r="N90" s="1137"/>
      <c r="O90" s="1137"/>
      <c r="P90" s="1139"/>
      <c r="Q90" s="1137"/>
      <c r="R90" s="1429"/>
      <c r="S90" s="1139"/>
    </row>
    <row r="91" spans="1:19" s="1138" customFormat="1" ht="15" x14ac:dyDescent="0.2">
      <c r="A91" s="1139"/>
      <c r="B91" s="1424"/>
      <c r="C91" s="1425"/>
      <c r="D91" s="1425"/>
      <c r="E91" s="1426">
        <f t="shared" si="2"/>
        <v>0</v>
      </c>
      <c r="F91" s="1406" t="str">
        <f t="shared" si="3"/>
        <v/>
      </c>
      <c r="G91" s="1424"/>
      <c r="H91" s="1427"/>
      <c r="I91" s="1139"/>
      <c r="J91" s="1137"/>
      <c r="K91" s="1137"/>
      <c r="L91" s="1139"/>
      <c r="M91" s="1139"/>
      <c r="N91" s="1137"/>
      <c r="O91" s="1137"/>
      <c r="P91" s="1139"/>
      <c r="Q91" s="1137"/>
      <c r="R91" s="1429"/>
      <c r="S91" s="1139"/>
    </row>
    <row r="92" spans="1:19" s="1138" customFormat="1" ht="15" x14ac:dyDescent="0.2">
      <c r="A92" s="1139"/>
      <c r="B92" s="1424"/>
      <c r="C92" s="1425"/>
      <c r="D92" s="1425"/>
      <c r="E92" s="1426">
        <f t="shared" si="2"/>
        <v>0</v>
      </c>
      <c r="F92" s="1406" t="str">
        <f t="shared" si="3"/>
        <v/>
      </c>
      <c r="G92" s="1424"/>
      <c r="H92" s="1427"/>
      <c r="I92" s="1139"/>
      <c r="J92" s="1137"/>
      <c r="K92" s="1137"/>
      <c r="L92" s="1139"/>
      <c r="M92" s="1139"/>
      <c r="N92" s="1137"/>
      <c r="O92" s="1137"/>
      <c r="P92" s="1139"/>
      <c r="Q92" s="1137"/>
      <c r="R92" s="1429"/>
      <c r="S92" s="1139"/>
    </row>
    <row r="93" spans="1:19" s="1138" customFormat="1" ht="15" x14ac:dyDescent="0.2">
      <c r="A93" s="1139"/>
      <c r="B93" s="1424"/>
      <c r="C93" s="1425"/>
      <c r="D93" s="1425"/>
      <c r="E93" s="1426">
        <f t="shared" si="2"/>
        <v>0</v>
      </c>
      <c r="F93" s="1406" t="str">
        <f t="shared" si="3"/>
        <v/>
      </c>
      <c r="G93" s="1424"/>
      <c r="H93" s="1427"/>
      <c r="I93" s="1139"/>
      <c r="J93" s="1137"/>
      <c r="K93" s="1137"/>
      <c r="L93" s="1139"/>
      <c r="M93" s="1139"/>
      <c r="N93" s="1137"/>
      <c r="O93" s="1137"/>
      <c r="P93" s="1139"/>
      <c r="Q93" s="1137"/>
      <c r="R93" s="1429"/>
      <c r="S93" s="1139"/>
    </row>
    <row r="94" spans="1:19" s="1138" customFormat="1" ht="15" x14ac:dyDescent="0.2">
      <c r="A94" s="1139"/>
      <c r="B94" s="1424"/>
      <c r="C94" s="1425"/>
      <c r="D94" s="1425"/>
      <c r="E94" s="1426">
        <f t="shared" si="2"/>
        <v>0</v>
      </c>
      <c r="F94" s="1406" t="str">
        <f t="shared" si="3"/>
        <v/>
      </c>
      <c r="G94" s="1424"/>
      <c r="H94" s="1427"/>
      <c r="I94" s="1139"/>
      <c r="J94" s="1137"/>
      <c r="K94" s="1137"/>
      <c r="L94" s="1139"/>
      <c r="M94" s="1139"/>
      <c r="N94" s="1137"/>
      <c r="O94" s="1137"/>
      <c r="P94" s="1139"/>
      <c r="Q94" s="1137"/>
      <c r="R94" s="1429"/>
      <c r="S94" s="1139"/>
    </row>
    <row r="95" spans="1:19" s="1138" customFormat="1" ht="15" x14ac:dyDescent="0.2">
      <c r="A95" s="1139"/>
      <c r="B95" s="1424"/>
      <c r="C95" s="1425"/>
      <c r="D95" s="1425"/>
      <c r="E95" s="1426">
        <f t="shared" si="2"/>
        <v>0</v>
      </c>
      <c r="F95" s="1406" t="str">
        <f t="shared" si="3"/>
        <v/>
      </c>
      <c r="G95" s="1424"/>
      <c r="H95" s="1427"/>
      <c r="I95" s="1139"/>
      <c r="J95" s="1137"/>
      <c r="K95" s="1137"/>
      <c r="L95" s="1139"/>
      <c r="M95" s="1139"/>
      <c r="N95" s="1137"/>
      <c r="O95" s="1137"/>
      <c r="P95" s="1139"/>
      <c r="Q95" s="1137"/>
      <c r="R95" s="1429"/>
      <c r="S95" s="1139"/>
    </row>
    <row r="96" spans="1:19" s="1138" customFormat="1" ht="15" x14ac:dyDescent="0.2">
      <c r="A96" s="1139"/>
      <c r="B96" s="1424"/>
      <c r="C96" s="1425"/>
      <c r="D96" s="1425"/>
      <c r="E96" s="1426">
        <f t="shared" si="2"/>
        <v>0</v>
      </c>
      <c r="F96" s="1406" t="str">
        <f t="shared" si="3"/>
        <v/>
      </c>
      <c r="G96" s="1424"/>
      <c r="H96" s="1427"/>
      <c r="I96" s="1139"/>
      <c r="J96" s="1137"/>
      <c r="K96" s="1137"/>
      <c r="L96" s="1139"/>
      <c r="M96" s="1139"/>
      <c r="N96" s="1137"/>
      <c r="O96" s="1137"/>
      <c r="P96" s="1139"/>
      <c r="Q96" s="1137"/>
      <c r="R96" s="1429"/>
      <c r="S96" s="1139"/>
    </row>
    <row r="97" spans="1:19" s="1138" customFormat="1" ht="15" x14ac:dyDescent="0.2">
      <c r="A97" s="1139"/>
      <c r="B97" s="1424"/>
      <c r="C97" s="1425"/>
      <c r="D97" s="1425"/>
      <c r="E97" s="1426">
        <f t="shared" si="2"/>
        <v>0</v>
      </c>
      <c r="F97" s="1406" t="str">
        <f t="shared" si="3"/>
        <v/>
      </c>
      <c r="G97" s="1424"/>
      <c r="H97" s="1427"/>
      <c r="I97" s="1139"/>
      <c r="J97" s="1137"/>
      <c r="K97" s="1137"/>
      <c r="L97" s="1139"/>
      <c r="M97" s="1139"/>
      <c r="N97" s="1137"/>
      <c r="O97" s="1137"/>
      <c r="P97" s="1139"/>
      <c r="Q97" s="1137"/>
      <c r="R97" s="1429"/>
      <c r="S97" s="1139"/>
    </row>
    <row r="98" spans="1:19" s="1138" customFormat="1" ht="15" x14ac:dyDescent="0.2">
      <c r="A98" s="1139"/>
      <c r="B98" s="1424"/>
      <c r="C98" s="1425"/>
      <c r="D98" s="1425"/>
      <c r="E98" s="1426">
        <f t="shared" si="2"/>
        <v>0</v>
      </c>
      <c r="F98" s="1406" t="str">
        <f t="shared" si="3"/>
        <v/>
      </c>
      <c r="G98" s="1424"/>
      <c r="H98" s="1427"/>
      <c r="I98" s="1139"/>
      <c r="J98" s="1137"/>
      <c r="K98" s="1137"/>
      <c r="L98" s="1139"/>
      <c r="M98" s="1139"/>
      <c r="N98" s="1137"/>
      <c r="O98" s="1137"/>
      <c r="P98" s="1139"/>
      <c r="Q98" s="1137"/>
      <c r="R98" s="1429"/>
      <c r="S98" s="1139"/>
    </row>
    <row r="99" spans="1:19" s="1138" customFormat="1" ht="15" x14ac:dyDescent="0.2">
      <c r="A99" s="1139"/>
      <c r="B99" s="1424"/>
      <c r="C99" s="1425"/>
      <c r="D99" s="1425"/>
      <c r="E99" s="1426">
        <f t="shared" si="2"/>
        <v>0</v>
      </c>
      <c r="F99" s="1406" t="str">
        <f t="shared" si="3"/>
        <v/>
      </c>
      <c r="G99" s="1424"/>
      <c r="H99" s="1427"/>
      <c r="I99" s="1139"/>
      <c r="J99" s="1137"/>
      <c r="K99" s="1137"/>
      <c r="L99" s="1139"/>
      <c r="M99" s="1139"/>
      <c r="N99" s="1137"/>
      <c r="O99" s="1137"/>
      <c r="P99" s="1139"/>
      <c r="Q99" s="1137"/>
      <c r="R99" s="1429"/>
      <c r="S99" s="1139"/>
    </row>
    <row r="100" spans="1:19" s="1138" customFormat="1" ht="15" x14ac:dyDescent="0.2">
      <c r="A100" s="1139"/>
      <c r="B100" s="1424"/>
      <c r="C100" s="1425"/>
      <c r="D100" s="1425"/>
      <c r="E100" s="1426">
        <f t="shared" si="2"/>
        <v>0</v>
      </c>
      <c r="F100" s="1406" t="str">
        <f t="shared" si="3"/>
        <v/>
      </c>
      <c r="G100" s="1424"/>
      <c r="H100" s="1427"/>
      <c r="I100" s="1139"/>
      <c r="J100" s="1137"/>
      <c r="K100" s="1137"/>
      <c r="L100" s="1139"/>
      <c r="M100" s="1139"/>
      <c r="N100" s="1137"/>
      <c r="O100" s="1137"/>
      <c r="P100" s="1139"/>
      <c r="Q100" s="1137"/>
      <c r="R100" s="1429"/>
      <c r="S100" s="1139"/>
    </row>
    <row r="101" spans="1:19" s="1138" customFormat="1" ht="15" x14ac:dyDescent="0.2">
      <c r="A101" s="1139"/>
      <c r="B101" s="1424"/>
      <c r="C101" s="1425"/>
      <c r="D101" s="1425"/>
      <c r="E101" s="1426">
        <f t="shared" si="2"/>
        <v>0</v>
      </c>
      <c r="F101" s="1406" t="str">
        <f t="shared" si="3"/>
        <v/>
      </c>
      <c r="G101" s="1424"/>
      <c r="H101" s="1427"/>
      <c r="I101" s="1139"/>
      <c r="J101" s="1137"/>
      <c r="K101" s="1137"/>
      <c r="L101" s="1139"/>
      <c r="M101" s="1139"/>
      <c r="N101" s="1137"/>
      <c r="O101" s="1137"/>
      <c r="P101" s="1139"/>
      <c r="Q101" s="1137"/>
      <c r="R101" s="1429"/>
      <c r="S101" s="1139"/>
    </row>
    <row r="102" spans="1:19" s="1138" customFormat="1" ht="15" x14ac:dyDescent="0.2">
      <c r="A102" s="1139"/>
      <c r="B102" s="1424"/>
      <c r="C102" s="1425"/>
      <c r="D102" s="1425"/>
      <c r="E102" s="1426">
        <f t="shared" si="2"/>
        <v>0</v>
      </c>
      <c r="F102" s="1406" t="str">
        <f t="shared" si="3"/>
        <v/>
      </c>
      <c r="G102" s="1424"/>
      <c r="H102" s="1427"/>
      <c r="I102" s="1139"/>
      <c r="J102" s="1137"/>
      <c r="K102" s="1137"/>
      <c r="L102" s="1139"/>
      <c r="M102" s="1139"/>
      <c r="N102" s="1137"/>
      <c r="O102" s="1137"/>
      <c r="P102" s="1139"/>
      <c r="Q102" s="1137"/>
      <c r="R102" s="1429"/>
      <c r="S102" s="1139"/>
    </row>
    <row r="103" spans="1:19" s="1138" customFormat="1" ht="15" x14ac:dyDescent="0.2">
      <c r="A103" s="1139"/>
      <c r="B103" s="1424"/>
      <c r="C103" s="1425"/>
      <c r="D103" s="1425"/>
      <c r="E103" s="1426">
        <f t="shared" si="2"/>
        <v>0</v>
      </c>
      <c r="F103" s="1406" t="str">
        <f t="shared" si="3"/>
        <v/>
      </c>
      <c r="G103" s="1424"/>
      <c r="H103" s="1427"/>
      <c r="I103" s="1139"/>
      <c r="J103" s="1137"/>
      <c r="K103" s="1137"/>
      <c r="L103" s="1139"/>
      <c r="M103" s="1139"/>
      <c r="N103" s="1137"/>
      <c r="O103" s="1137"/>
      <c r="P103" s="1139"/>
      <c r="Q103" s="1137"/>
      <c r="R103" s="1429"/>
      <c r="S103" s="1139"/>
    </row>
    <row r="104" spans="1:19" s="1138" customFormat="1" ht="15" x14ac:dyDescent="0.2">
      <c r="A104" s="1139"/>
      <c r="B104" s="1424"/>
      <c r="C104" s="1425"/>
      <c r="D104" s="1425"/>
      <c r="E104" s="1426">
        <f t="shared" si="2"/>
        <v>0</v>
      </c>
      <c r="F104" s="1406" t="str">
        <f t="shared" si="3"/>
        <v/>
      </c>
      <c r="G104" s="1424"/>
      <c r="H104" s="1427"/>
      <c r="I104" s="1139"/>
      <c r="J104" s="1137"/>
      <c r="K104" s="1137"/>
      <c r="L104" s="1139"/>
      <c r="M104" s="1139"/>
      <c r="N104" s="1137"/>
      <c r="O104" s="1137"/>
      <c r="P104" s="1139"/>
      <c r="Q104" s="1137"/>
      <c r="R104" s="1429"/>
      <c r="S104" s="1139"/>
    </row>
    <row r="105" spans="1:19" s="1138" customFormat="1" ht="15" x14ac:dyDescent="0.2">
      <c r="A105" s="1139"/>
      <c r="B105" s="1424"/>
      <c r="C105" s="1425"/>
      <c r="D105" s="1425"/>
      <c r="E105" s="1426">
        <f t="shared" si="2"/>
        <v>0</v>
      </c>
      <c r="F105" s="1406" t="str">
        <f t="shared" si="3"/>
        <v/>
      </c>
      <c r="G105" s="1424"/>
      <c r="H105" s="1427"/>
      <c r="I105" s="1139"/>
      <c r="J105" s="1137"/>
      <c r="K105" s="1137"/>
      <c r="L105" s="1139"/>
      <c r="M105" s="1139"/>
      <c r="N105" s="1137"/>
      <c r="O105" s="1137"/>
      <c r="P105" s="1139"/>
      <c r="Q105" s="1137"/>
      <c r="R105" s="1429"/>
      <c r="S105" s="1139"/>
    </row>
    <row r="106" spans="1:19" s="1138" customFormat="1" ht="15" x14ac:dyDescent="0.2">
      <c r="A106" s="1139"/>
      <c r="B106" s="1424"/>
      <c r="C106" s="1425"/>
      <c r="D106" s="1425"/>
      <c r="E106" s="1426">
        <f t="shared" si="2"/>
        <v>0</v>
      </c>
      <c r="F106" s="1406" t="str">
        <f t="shared" si="3"/>
        <v/>
      </c>
      <c r="G106" s="1424"/>
      <c r="H106" s="1427"/>
      <c r="I106" s="1139"/>
      <c r="J106" s="1137"/>
      <c r="K106" s="1137"/>
      <c r="L106" s="1139"/>
      <c r="M106" s="1139"/>
      <c r="N106" s="1137"/>
      <c r="O106" s="1137"/>
      <c r="P106" s="1139"/>
      <c r="Q106" s="1137"/>
      <c r="R106" s="1429"/>
      <c r="S106" s="1139"/>
    </row>
    <row r="107" spans="1:19" s="1138" customFormat="1" ht="15" x14ac:dyDescent="0.2">
      <c r="A107" s="1139"/>
      <c r="B107" s="1424"/>
      <c r="C107" s="1425"/>
      <c r="D107" s="1425"/>
      <c r="E107" s="1426">
        <f t="shared" si="2"/>
        <v>0</v>
      </c>
      <c r="F107" s="1406" t="str">
        <f t="shared" si="3"/>
        <v/>
      </c>
      <c r="G107" s="1424"/>
      <c r="H107" s="1427"/>
      <c r="I107" s="1139"/>
      <c r="J107" s="1137"/>
      <c r="K107" s="1137"/>
      <c r="L107" s="1139"/>
      <c r="M107" s="1139"/>
      <c r="N107" s="1137"/>
      <c r="O107" s="1137"/>
      <c r="P107" s="1139"/>
      <c r="Q107" s="1137"/>
      <c r="R107" s="1429"/>
      <c r="S107" s="1139"/>
    </row>
    <row r="108" spans="1:19" s="1138" customFormat="1" ht="15" x14ac:dyDescent="0.2">
      <c r="A108" s="1139"/>
      <c r="B108" s="1424"/>
      <c r="C108" s="1425"/>
      <c r="D108" s="1425"/>
      <c r="E108" s="1426">
        <f t="shared" si="2"/>
        <v>0</v>
      </c>
      <c r="F108" s="1406" t="str">
        <f t="shared" si="3"/>
        <v/>
      </c>
      <c r="G108" s="1424"/>
      <c r="H108" s="1427"/>
      <c r="I108" s="1139"/>
      <c r="J108" s="1137"/>
      <c r="K108" s="1137"/>
      <c r="L108" s="1139"/>
      <c r="M108" s="1139"/>
      <c r="N108" s="1137"/>
      <c r="O108" s="1137"/>
      <c r="P108" s="1139"/>
      <c r="Q108" s="1137"/>
      <c r="R108" s="1429"/>
      <c r="S108" s="1139"/>
    </row>
    <row r="109" spans="1:19" s="1138" customFormat="1" ht="15" x14ac:dyDescent="0.2">
      <c r="A109" s="1139"/>
      <c r="B109" s="1424"/>
      <c r="C109" s="1425"/>
      <c r="D109" s="1425"/>
      <c r="E109" s="1426">
        <f t="shared" si="2"/>
        <v>0</v>
      </c>
      <c r="F109" s="1406" t="str">
        <f t="shared" si="3"/>
        <v/>
      </c>
      <c r="G109" s="1424"/>
      <c r="H109" s="1427"/>
      <c r="I109" s="1139"/>
      <c r="J109" s="1137"/>
      <c r="K109" s="1137"/>
      <c r="L109" s="1139"/>
      <c r="M109" s="1139"/>
      <c r="N109" s="1137"/>
      <c r="O109" s="1137"/>
      <c r="P109" s="1139"/>
      <c r="Q109" s="1137"/>
      <c r="R109" s="1429"/>
      <c r="S109" s="1139"/>
    </row>
    <row r="110" spans="1:19" s="1138" customFormat="1" ht="15" x14ac:dyDescent="0.2">
      <c r="A110" s="1139"/>
      <c r="B110" s="1424"/>
      <c r="C110" s="1425"/>
      <c r="D110" s="1425"/>
      <c r="E110" s="1426">
        <f t="shared" si="2"/>
        <v>0</v>
      </c>
      <c r="F110" s="1406" t="str">
        <f t="shared" si="3"/>
        <v/>
      </c>
      <c r="G110" s="1424"/>
      <c r="H110" s="1427"/>
      <c r="I110" s="1139"/>
      <c r="J110" s="1137"/>
      <c r="K110" s="1137"/>
      <c r="L110" s="1139"/>
      <c r="M110" s="1139"/>
      <c r="N110" s="1137"/>
      <c r="O110" s="1137"/>
      <c r="P110" s="1139"/>
      <c r="Q110" s="1137"/>
      <c r="R110" s="1429"/>
      <c r="S110" s="1139"/>
    </row>
    <row r="111" spans="1:19" s="1138" customFormat="1" ht="15" x14ac:dyDescent="0.2">
      <c r="A111" s="1139"/>
      <c r="B111" s="1424"/>
      <c r="C111" s="1425"/>
      <c r="D111" s="1425"/>
      <c r="E111" s="1426">
        <f t="shared" si="2"/>
        <v>0</v>
      </c>
      <c r="F111" s="1406" t="str">
        <f t="shared" si="3"/>
        <v/>
      </c>
      <c r="G111" s="1424"/>
      <c r="H111" s="1427"/>
      <c r="I111" s="1139"/>
      <c r="J111" s="1137"/>
      <c r="K111" s="1137"/>
      <c r="L111" s="1139"/>
      <c r="M111" s="1139"/>
      <c r="N111" s="1137"/>
      <c r="O111" s="1137"/>
      <c r="P111" s="1139"/>
      <c r="Q111" s="1137"/>
      <c r="R111" s="1429"/>
      <c r="S111" s="1139"/>
    </row>
    <row r="112" spans="1:19" s="51" customFormat="1" ht="15" x14ac:dyDescent="0.2">
      <c r="A112" s="223"/>
      <c r="B112" s="1424"/>
      <c r="C112" s="223"/>
      <c r="D112" s="1431"/>
      <c r="E112" s="1426">
        <f t="shared" si="2"/>
        <v>0</v>
      </c>
      <c r="F112" s="1406" t="str">
        <f t="shared" si="3"/>
        <v/>
      </c>
      <c r="G112" s="1424"/>
      <c r="H112" s="1432"/>
      <c r="I112" s="223"/>
      <c r="J112" s="1433"/>
      <c r="K112" s="1433"/>
      <c r="L112" s="223"/>
      <c r="M112" s="223"/>
      <c r="N112" s="1433"/>
      <c r="O112" s="1433"/>
      <c r="P112" s="223"/>
      <c r="Q112" s="1433"/>
      <c r="R112" s="1429"/>
      <c r="S112" s="223"/>
    </row>
    <row r="113" spans="1:19" s="51" customFormat="1" x14ac:dyDescent="0.2">
      <c r="H113" s="1330"/>
      <c r="J113" s="1126"/>
      <c r="K113" s="1126"/>
      <c r="N113" s="1126"/>
      <c r="O113" s="1126"/>
      <c r="Q113" s="1126"/>
      <c r="R113" s="1126"/>
    </row>
    <row r="114" spans="1:19" s="51" customFormat="1" x14ac:dyDescent="0.2">
      <c r="B114" s="1901" t="s">
        <v>666</v>
      </c>
      <c r="C114" s="1903"/>
      <c r="D114" s="1904"/>
      <c r="E114" s="1904"/>
      <c r="F114" s="1905"/>
      <c r="G114" s="1126"/>
      <c r="H114" s="1330"/>
      <c r="J114" s="1126"/>
      <c r="K114" s="1126"/>
      <c r="N114" s="1126"/>
      <c r="O114" s="1126"/>
      <c r="Q114" s="1126"/>
      <c r="R114" s="1126"/>
    </row>
    <row r="115" spans="1:19" s="51" customFormat="1" x14ac:dyDescent="0.2">
      <c r="B115" s="1902"/>
      <c r="C115" s="1906"/>
      <c r="D115" s="1907"/>
      <c r="E115" s="1907"/>
      <c r="F115" s="1908"/>
      <c r="G115" s="1126"/>
      <c r="H115" s="1330"/>
      <c r="J115" s="1126"/>
      <c r="K115" s="1126"/>
      <c r="N115" s="1126"/>
      <c r="O115" s="1126"/>
      <c r="Q115" s="1126"/>
      <c r="R115" s="1126"/>
    </row>
    <row r="116" spans="1:19" s="51" customFormat="1" ht="15" thickBot="1" x14ac:dyDescent="0.25">
      <c r="H116" s="1330"/>
      <c r="J116" s="1126"/>
      <c r="K116" s="1126"/>
      <c r="N116" s="1126"/>
      <c r="O116" s="1126"/>
      <c r="Q116" s="1126"/>
      <c r="R116" s="1126"/>
    </row>
    <row r="117" spans="1:19" s="51" customFormat="1" ht="15" thickBot="1" x14ac:dyDescent="0.25">
      <c r="B117" s="1922" t="s">
        <v>667</v>
      </c>
      <c r="C117" s="1898"/>
      <c r="D117" s="1899"/>
      <c r="E117" s="1899"/>
      <c r="F117" s="1900"/>
      <c r="G117" s="1127"/>
      <c r="H117" s="1333"/>
      <c r="I117" s="1127"/>
      <c r="J117" s="1339"/>
      <c r="K117" s="1339"/>
      <c r="L117" s="1127"/>
      <c r="M117" s="1127"/>
      <c r="N117" s="1339"/>
      <c r="O117" s="1339"/>
      <c r="P117" s="1127"/>
      <c r="Q117" s="1339"/>
      <c r="R117" s="1339"/>
      <c r="S117" s="1127"/>
    </row>
    <row r="118" spans="1:19" s="51" customFormat="1" ht="15" thickBot="1" x14ac:dyDescent="0.25">
      <c r="B118" s="1923"/>
      <c r="C118" s="1898"/>
      <c r="D118" s="1899"/>
      <c r="E118" s="1899"/>
      <c r="F118" s="1900"/>
      <c r="G118" s="307"/>
      <c r="H118" s="1334"/>
      <c r="I118" s="307"/>
      <c r="J118" s="1340"/>
      <c r="K118" s="1340"/>
      <c r="L118" s="307"/>
      <c r="M118" s="307"/>
      <c r="N118" s="1340"/>
      <c r="O118" s="1340"/>
      <c r="P118" s="307"/>
      <c r="Q118" s="1340"/>
      <c r="R118" s="1340"/>
      <c r="S118" s="307"/>
    </row>
    <row r="119" spans="1:19" s="51" customFormat="1" ht="15" thickBot="1" x14ac:dyDescent="0.25">
      <c r="B119" s="1924"/>
      <c r="C119" s="1898"/>
      <c r="D119" s="1899"/>
      <c r="E119" s="1899"/>
      <c r="F119" s="1900"/>
      <c r="G119" s="307"/>
      <c r="H119" s="1334"/>
      <c r="I119" s="307"/>
      <c r="J119" s="1340"/>
      <c r="K119" s="1340"/>
      <c r="L119" s="307"/>
      <c r="M119" s="307"/>
      <c r="N119" s="1340"/>
      <c r="O119" s="1340"/>
      <c r="P119" s="307"/>
      <c r="Q119" s="1340"/>
      <c r="R119" s="1340"/>
      <c r="S119" s="307"/>
    </row>
    <row r="120" spans="1:19" s="51" customFormat="1" ht="15" thickBot="1" x14ac:dyDescent="0.25">
      <c r="B120" s="1128" t="s">
        <v>668</v>
      </c>
      <c r="C120" s="1898"/>
      <c r="D120" s="1899"/>
      <c r="E120" s="1899"/>
      <c r="F120" s="1900"/>
      <c r="G120" s="307"/>
      <c r="H120" s="1334"/>
      <c r="I120" s="307"/>
      <c r="J120" s="1340"/>
      <c r="K120" s="1340"/>
      <c r="L120" s="307"/>
      <c r="M120" s="307"/>
      <c r="N120" s="1340"/>
      <c r="O120" s="1340"/>
      <c r="P120" s="307"/>
      <c r="Q120" s="1340"/>
      <c r="R120" s="1340"/>
      <c r="S120" s="307"/>
    </row>
    <row r="121" spans="1:19" s="51" customFormat="1" x14ac:dyDescent="0.2">
      <c r="H121" s="1330"/>
      <c r="J121" s="1126"/>
      <c r="K121" s="1126"/>
      <c r="N121" s="1126"/>
      <c r="O121" s="1126"/>
      <c r="Q121" s="1126"/>
      <c r="R121" s="1126"/>
    </row>
    <row r="122" spans="1:19" s="51" customFormat="1" ht="15" x14ac:dyDescent="0.25">
      <c r="B122" s="51" t="s">
        <v>669</v>
      </c>
      <c r="H122" s="1330"/>
      <c r="J122" s="1126"/>
      <c r="K122" s="1126"/>
      <c r="N122" s="1126"/>
      <c r="O122" s="1126"/>
      <c r="Q122" s="1126"/>
      <c r="R122" s="1126"/>
    </row>
    <row r="123" spans="1:19" s="51" customFormat="1" ht="15" x14ac:dyDescent="0.25">
      <c r="B123" s="51" t="s">
        <v>670</v>
      </c>
      <c r="H123" s="1330"/>
      <c r="J123" s="1126"/>
      <c r="K123" s="1126"/>
      <c r="N123" s="1126"/>
      <c r="O123" s="1126"/>
      <c r="Q123" s="1126"/>
      <c r="R123" s="1126"/>
    </row>
    <row r="124" spans="1:19" s="51" customFormat="1" ht="15" x14ac:dyDescent="0.25">
      <c r="B124" s="51" t="s">
        <v>1674</v>
      </c>
      <c r="H124" s="1330"/>
      <c r="J124" s="1126"/>
      <c r="K124" s="1126"/>
      <c r="N124" s="1126"/>
      <c r="O124" s="1126"/>
      <c r="Q124" s="1126"/>
      <c r="R124" s="1126"/>
    </row>
    <row r="125" spans="1:19" s="51" customFormat="1" x14ac:dyDescent="0.2">
      <c r="H125" s="1330"/>
      <c r="J125" s="1126"/>
      <c r="K125" s="1126"/>
      <c r="N125" s="1126"/>
      <c r="O125" s="1126"/>
      <c r="Q125" s="1126"/>
      <c r="R125" s="1126"/>
    </row>
    <row r="128" spans="1:19" ht="36.6" customHeight="1" x14ac:dyDescent="0.2">
      <c r="A128" s="1909" t="s">
        <v>1705</v>
      </c>
      <c r="B128" s="1909"/>
      <c r="C128" s="1909"/>
      <c r="D128" s="1909"/>
      <c r="E128" s="1909"/>
      <c r="F128" s="1909"/>
      <c r="G128" s="1909"/>
      <c r="H128" s="1909"/>
    </row>
    <row r="130" spans="1:20" ht="18" x14ac:dyDescent="0.2">
      <c r="C130" s="1910" t="s">
        <v>647</v>
      </c>
      <c r="D130" s="1910"/>
      <c r="E130" s="1910"/>
      <c r="F130" s="1910"/>
      <c r="G130" s="1910"/>
      <c r="H130" s="1910"/>
    </row>
    <row r="131" spans="1:20" ht="15.75" customHeight="1" x14ac:dyDescent="0.2">
      <c r="B131" s="11" t="s">
        <v>0</v>
      </c>
      <c r="C131" s="1856" t="str">
        <f>IF(C132="Fondo de Pensiones Públicas de Bogotá – FPPB",C6,IF(C132="Sistema Intregado de Transporte Público-SITP",C6,"NO APLICA"))</f>
        <v xml:space="preserve">80000 - DIRECCIÓN SECTOR MOVILIDAD </v>
      </c>
      <c r="D131" s="1856"/>
    </row>
    <row r="132" spans="1:20" x14ac:dyDescent="0.2">
      <c r="B132" s="11" t="s">
        <v>1</v>
      </c>
      <c r="C132" s="1911" t="str">
        <f>IF(C7="206 - Fondo de Prestaciones Económicas, Cesantías y Pensiones – FONCEP ","Fondo de Pensiones Públicas de Bogotá – FPPB",IF(C7="262 - Empresa de Transporte del Tercer Milenio - Transmilenio S.A. ","Sistema Intregado de Transporte Público-SITP","NO APLICA"))</f>
        <v>Sistema Intregado de Transporte Público-SITP</v>
      </c>
      <c r="D132" s="1911"/>
      <c r="F132" s="302" t="s">
        <v>2</v>
      </c>
      <c r="G132" s="303"/>
      <c r="H132" s="26">
        <f>+H7</f>
        <v>2024</v>
      </c>
      <c r="P132" s="304"/>
      <c r="R132" s="87"/>
      <c r="S132" s="304"/>
    </row>
    <row r="133" spans="1:20" x14ac:dyDescent="0.2">
      <c r="B133" s="11" t="s">
        <v>1589</v>
      </c>
      <c r="C133" s="26">
        <f>+C8</f>
        <v>2025</v>
      </c>
      <c r="D133" s="1119"/>
      <c r="F133" s="302" t="s">
        <v>3</v>
      </c>
      <c r="G133" s="303"/>
      <c r="H133" s="26">
        <f>+H8</f>
        <v>87</v>
      </c>
    </row>
    <row r="134" spans="1:20" x14ac:dyDescent="0.2">
      <c r="B134" s="11" t="s">
        <v>4</v>
      </c>
      <c r="C134" s="1120">
        <f>+C9</f>
        <v>45693</v>
      </c>
      <c r="D134" s="1118"/>
      <c r="F134" s="302" t="s">
        <v>5</v>
      </c>
      <c r="G134" s="303"/>
      <c r="H134" s="1120">
        <f>+H9</f>
        <v>45693</v>
      </c>
    </row>
    <row r="135" spans="1:20" ht="15.75" x14ac:dyDescent="0.25">
      <c r="B135" s="49"/>
      <c r="E135" s="49"/>
      <c r="F135" s="49"/>
      <c r="G135" s="49"/>
      <c r="I135" s="11" t="s">
        <v>648</v>
      </c>
      <c r="J135" s="1894" t="s">
        <v>649</v>
      </c>
      <c r="K135" s="1894"/>
      <c r="L135" s="1894"/>
      <c r="M135" s="1894"/>
      <c r="N135" s="1894"/>
      <c r="O135" s="1894"/>
      <c r="P135" s="1894"/>
      <c r="Q135" s="1894"/>
      <c r="R135" s="306"/>
    </row>
    <row r="136" spans="1:20" s="51" customFormat="1" ht="120" x14ac:dyDescent="0.2">
      <c r="A136" s="1125" t="s">
        <v>650</v>
      </c>
      <c r="B136" s="1125" t="s">
        <v>651</v>
      </c>
      <c r="C136" s="1125" t="s">
        <v>1670</v>
      </c>
      <c r="D136" s="1125" t="s">
        <v>1671</v>
      </c>
      <c r="E136" s="1125" t="s">
        <v>652</v>
      </c>
      <c r="F136" s="1125" t="s">
        <v>653</v>
      </c>
      <c r="G136" s="1125" t="s">
        <v>654</v>
      </c>
      <c r="H136" s="1331" t="s">
        <v>655</v>
      </c>
      <c r="I136" s="1125" t="s">
        <v>656</v>
      </c>
      <c r="J136" s="1125" t="s">
        <v>657</v>
      </c>
      <c r="K136" s="1125" t="s">
        <v>658</v>
      </c>
      <c r="L136" s="1125" t="s">
        <v>659</v>
      </c>
      <c r="M136" s="1125" t="s">
        <v>660</v>
      </c>
      <c r="N136" s="1125" t="s">
        <v>661</v>
      </c>
      <c r="O136" s="1125" t="s">
        <v>662</v>
      </c>
      <c r="P136" s="1125" t="s">
        <v>663</v>
      </c>
      <c r="Q136" s="1125" t="s">
        <v>661</v>
      </c>
      <c r="R136" s="1125" t="s">
        <v>664</v>
      </c>
      <c r="S136" s="1125" t="s">
        <v>665</v>
      </c>
    </row>
    <row r="137" spans="1:20" s="1138" customFormat="1" ht="15" x14ac:dyDescent="0.2">
      <c r="A137" s="1139"/>
      <c r="B137" s="1435"/>
      <c r="C137" s="1425"/>
      <c r="D137" s="1425"/>
      <c r="E137" s="1434">
        <f>+C137-D137</f>
        <v>0</v>
      </c>
      <c r="F137" s="1329"/>
      <c r="G137" s="1424"/>
      <c r="H137" s="1427"/>
      <c r="I137" s="1435"/>
      <c r="J137" s="1428"/>
      <c r="K137" s="1137"/>
      <c r="L137" s="1137"/>
      <c r="M137" s="1139"/>
      <c r="N137" s="1137"/>
      <c r="O137" s="1137"/>
      <c r="P137" s="1137"/>
      <c r="Q137" s="1137"/>
      <c r="R137" s="1429"/>
      <c r="S137" s="1424"/>
    </row>
    <row r="138" spans="1:20" s="1138" customFormat="1" ht="15" x14ac:dyDescent="0.2">
      <c r="A138" s="1139"/>
      <c r="B138" s="1435"/>
      <c r="C138" s="1425"/>
      <c r="D138" s="1425"/>
      <c r="E138" s="1434">
        <f t="shared" ref="E138:E172" si="4">+C138-D138</f>
        <v>0</v>
      </c>
      <c r="F138" s="1329"/>
      <c r="G138" s="1424"/>
      <c r="H138" s="1427"/>
      <c r="I138" s="1435"/>
      <c r="J138" s="1428"/>
      <c r="K138" s="1137"/>
      <c r="L138" s="1137"/>
      <c r="M138" s="1139"/>
      <c r="N138" s="1137"/>
      <c r="O138" s="1137"/>
      <c r="P138" s="1137"/>
      <c r="Q138" s="1137"/>
      <c r="R138" s="1429"/>
      <c r="S138" s="1424"/>
    </row>
    <row r="139" spans="1:20" s="1138" customFormat="1" ht="15" x14ac:dyDescent="0.2">
      <c r="A139" s="1139"/>
      <c r="B139" s="1435"/>
      <c r="C139" s="1425"/>
      <c r="D139" s="1425"/>
      <c r="E139" s="1434">
        <f t="shared" si="4"/>
        <v>0</v>
      </c>
      <c r="F139" s="1329"/>
      <c r="G139" s="1424"/>
      <c r="H139" s="1427"/>
      <c r="I139" s="1435"/>
      <c r="J139" s="1428"/>
      <c r="K139" s="1137"/>
      <c r="L139" s="1137"/>
      <c r="M139" s="1139"/>
      <c r="N139" s="1137"/>
      <c r="O139" s="1137"/>
      <c r="P139" s="1137"/>
      <c r="Q139" s="1137"/>
      <c r="R139" s="1429"/>
      <c r="S139" s="1424"/>
    </row>
    <row r="140" spans="1:20" s="1138" customFormat="1" ht="15" x14ac:dyDescent="0.2">
      <c r="A140" s="1139"/>
      <c r="B140" s="1435"/>
      <c r="C140" s="1425"/>
      <c r="D140" s="1425"/>
      <c r="E140" s="1434">
        <f t="shared" si="4"/>
        <v>0</v>
      </c>
      <c r="F140" s="1329"/>
      <c r="G140" s="1424"/>
      <c r="H140" s="1427"/>
      <c r="I140" s="1435"/>
      <c r="J140" s="1428"/>
      <c r="K140" s="1137"/>
      <c r="L140" s="1137"/>
      <c r="M140" s="1139"/>
      <c r="N140" s="1137"/>
      <c r="O140" s="1137"/>
      <c r="P140" s="1137"/>
      <c r="Q140" s="1137"/>
      <c r="R140" s="1429"/>
      <c r="S140" s="1424"/>
    </row>
    <row r="141" spans="1:20" s="1138" customFormat="1" ht="15" x14ac:dyDescent="0.2">
      <c r="A141" s="1139"/>
      <c r="B141" s="1435"/>
      <c r="C141" s="1425"/>
      <c r="D141" s="1425"/>
      <c r="E141" s="1434">
        <f t="shared" si="4"/>
        <v>0</v>
      </c>
      <c r="F141" s="1329"/>
      <c r="G141" s="1424"/>
      <c r="H141" s="1427"/>
      <c r="I141" s="1435"/>
      <c r="J141" s="1428"/>
      <c r="K141" s="1137"/>
      <c r="L141" s="1137"/>
      <c r="M141" s="1139"/>
      <c r="N141" s="1137"/>
      <c r="O141" s="1137"/>
      <c r="P141" s="1137"/>
      <c r="Q141" s="1137"/>
      <c r="R141" s="1429"/>
      <c r="S141" s="1424"/>
    </row>
    <row r="142" spans="1:20" s="1138" customFormat="1" ht="15" x14ac:dyDescent="0.2">
      <c r="A142" s="1139"/>
      <c r="B142" s="1435"/>
      <c r="C142" s="1425"/>
      <c r="D142" s="1425"/>
      <c r="E142" s="1434">
        <f t="shared" si="4"/>
        <v>0</v>
      </c>
      <c r="F142" s="1329"/>
      <c r="G142" s="1424"/>
      <c r="H142" s="1427"/>
      <c r="I142" s="1435"/>
      <c r="J142" s="1428"/>
      <c r="K142" s="1137"/>
      <c r="L142" s="1137"/>
      <c r="M142" s="1139"/>
      <c r="N142" s="1137"/>
      <c r="O142" s="1137"/>
      <c r="P142" s="1137"/>
      <c r="Q142" s="1137"/>
      <c r="R142" s="1429"/>
      <c r="S142" s="1424"/>
      <c r="T142" s="1138" t="s">
        <v>143</v>
      </c>
    </row>
    <row r="143" spans="1:20" s="1138" customFormat="1" ht="15" x14ac:dyDescent="0.2">
      <c r="A143" s="1139"/>
      <c r="B143" s="1435"/>
      <c r="C143" s="1425"/>
      <c r="D143" s="1425"/>
      <c r="E143" s="1434">
        <f t="shared" si="4"/>
        <v>0</v>
      </c>
      <c r="F143" s="1329"/>
      <c r="G143" s="1424"/>
      <c r="H143" s="1427"/>
      <c r="I143" s="1435"/>
      <c r="J143" s="1428"/>
      <c r="K143" s="1137"/>
      <c r="L143" s="1137"/>
      <c r="M143" s="1139"/>
      <c r="N143" s="1137"/>
      <c r="O143" s="1137"/>
      <c r="P143" s="1137"/>
      <c r="Q143" s="1137"/>
      <c r="R143" s="1429"/>
      <c r="S143" s="1424"/>
    </row>
    <row r="144" spans="1:20" s="1138" customFormat="1" ht="15" x14ac:dyDescent="0.2">
      <c r="A144" s="1139"/>
      <c r="B144" s="1435"/>
      <c r="C144" s="1425"/>
      <c r="D144" s="1425"/>
      <c r="E144" s="1434">
        <f t="shared" si="4"/>
        <v>0</v>
      </c>
      <c r="F144" s="1329"/>
      <c r="G144" s="1424"/>
      <c r="H144" s="1427"/>
      <c r="I144" s="1435"/>
      <c r="J144" s="1428"/>
      <c r="K144" s="1137"/>
      <c r="L144" s="1137"/>
      <c r="M144" s="1139"/>
      <c r="N144" s="1137"/>
      <c r="O144" s="1137"/>
      <c r="P144" s="1137"/>
      <c r="Q144" s="1137"/>
      <c r="R144" s="1429"/>
      <c r="S144" s="1424"/>
    </row>
    <row r="145" spans="1:20" s="1138" customFormat="1" ht="15" x14ac:dyDescent="0.2">
      <c r="A145" s="1139"/>
      <c r="B145" s="1435"/>
      <c r="C145" s="1425"/>
      <c r="D145" s="1425"/>
      <c r="E145" s="1434">
        <f t="shared" si="4"/>
        <v>0</v>
      </c>
      <c r="F145" s="1329"/>
      <c r="G145" s="1424"/>
      <c r="H145" s="1427"/>
      <c r="I145" s="1435"/>
      <c r="J145" s="1428"/>
      <c r="K145" s="1137"/>
      <c r="L145" s="1137"/>
      <c r="M145" s="1139"/>
      <c r="N145" s="1137"/>
      <c r="O145" s="1137"/>
      <c r="P145" s="1137"/>
      <c r="Q145" s="1137"/>
      <c r="R145" s="1429"/>
      <c r="S145" s="1424"/>
      <c r="T145" s="1138" t="s">
        <v>143</v>
      </c>
    </row>
    <row r="146" spans="1:20" s="1138" customFormat="1" ht="15" x14ac:dyDescent="0.2">
      <c r="A146" s="1139"/>
      <c r="B146" s="1435"/>
      <c r="C146" s="1425"/>
      <c r="D146" s="1425"/>
      <c r="E146" s="1434">
        <f t="shared" si="4"/>
        <v>0</v>
      </c>
      <c r="F146" s="1329"/>
      <c r="G146" s="1424"/>
      <c r="H146" s="1427"/>
      <c r="I146" s="1435"/>
      <c r="J146" s="1428"/>
      <c r="K146" s="1137"/>
      <c r="L146" s="1137"/>
      <c r="M146" s="1139"/>
      <c r="N146" s="1137"/>
      <c r="O146" s="1137"/>
      <c r="P146" s="1137"/>
      <c r="Q146" s="1137"/>
      <c r="R146" s="1429"/>
      <c r="S146" s="1424"/>
    </row>
    <row r="147" spans="1:20" s="1138" customFormat="1" ht="15" x14ac:dyDescent="0.2">
      <c r="A147" s="1139"/>
      <c r="B147" s="1435"/>
      <c r="C147" s="1425"/>
      <c r="D147" s="1425"/>
      <c r="E147" s="1434">
        <f t="shared" si="4"/>
        <v>0</v>
      </c>
      <c r="F147" s="1329"/>
      <c r="G147" s="1424"/>
      <c r="H147" s="1427"/>
      <c r="I147" s="1435"/>
      <c r="J147" s="1428"/>
      <c r="K147" s="1137"/>
      <c r="L147" s="1137"/>
      <c r="M147" s="1139"/>
      <c r="N147" s="1137"/>
      <c r="O147" s="1137"/>
      <c r="P147" s="1137"/>
      <c r="Q147" s="1137"/>
      <c r="R147" s="1429"/>
      <c r="S147" s="1424"/>
    </row>
    <row r="148" spans="1:20" s="1138" customFormat="1" ht="15" x14ac:dyDescent="0.2">
      <c r="A148" s="1139"/>
      <c r="B148" s="1435"/>
      <c r="C148" s="1425"/>
      <c r="D148" s="1425"/>
      <c r="E148" s="1434">
        <f t="shared" si="4"/>
        <v>0</v>
      </c>
      <c r="F148" s="1329"/>
      <c r="G148" s="1424"/>
      <c r="H148" s="1427"/>
      <c r="I148" s="1435"/>
      <c r="J148" s="1428"/>
      <c r="K148" s="1137"/>
      <c r="L148" s="1137"/>
      <c r="M148" s="1139"/>
      <c r="N148" s="1137"/>
      <c r="O148" s="1137"/>
      <c r="P148" s="1137"/>
      <c r="Q148" s="1137"/>
      <c r="R148" s="1429"/>
      <c r="S148" s="1424"/>
    </row>
    <row r="149" spans="1:20" s="1138" customFormat="1" ht="15" x14ac:dyDescent="0.2">
      <c r="A149" s="1139"/>
      <c r="B149" s="1435"/>
      <c r="C149" s="1425"/>
      <c r="D149" s="1425"/>
      <c r="E149" s="1434">
        <f t="shared" si="4"/>
        <v>0</v>
      </c>
      <c r="F149" s="1329"/>
      <c r="G149" s="1424"/>
      <c r="H149" s="1427"/>
      <c r="I149" s="1435"/>
      <c r="J149" s="1428"/>
      <c r="K149" s="1137"/>
      <c r="L149" s="1137"/>
      <c r="M149" s="1139"/>
      <c r="N149" s="1137"/>
      <c r="O149" s="1137"/>
      <c r="P149" s="1137"/>
      <c r="Q149" s="1137"/>
      <c r="R149" s="1429"/>
      <c r="S149" s="1424"/>
    </row>
    <row r="150" spans="1:20" s="1138" customFormat="1" ht="15" x14ac:dyDescent="0.2">
      <c r="A150" s="1139"/>
      <c r="B150" s="1435"/>
      <c r="C150" s="1425"/>
      <c r="D150" s="1425"/>
      <c r="E150" s="1434">
        <f t="shared" si="4"/>
        <v>0</v>
      </c>
      <c r="F150" s="1329"/>
      <c r="G150" s="1424"/>
      <c r="H150" s="1427"/>
      <c r="I150" s="1435"/>
      <c r="J150" s="1428"/>
      <c r="K150" s="1137"/>
      <c r="L150" s="1137"/>
      <c r="M150" s="1139"/>
      <c r="N150" s="1137"/>
      <c r="O150" s="1137"/>
      <c r="P150" s="1137"/>
      <c r="Q150" s="1137"/>
      <c r="R150" s="1429"/>
      <c r="S150" s="1424"/>
    </row>
    <row r="151" spans="1:20" s="1138" customFormat="1" ht="15" x14ac:dyDescent="0.2">
      <c r="A151" s="1139"/>
      <c r="B151" s="1435"/>
      <c r="C151" s="1425"/>
      <c r="D151" s="1425"/>
      <c r="E151" s="1434">
        <f t="shared" si="4"/>
        <v>0</v>
      </c>
      <c r="F151" s="1329"/>
      <c r="G151" s="1424"/>
      <c r="H151" s="1427"/>
      <c r="I151" s="1435"/>
      <c r="J151" s="1428"/>
      <c r="K151" s="1137"/>
      <c r="L151" s="1137"/>
      <c r="M151" s="1139"/>
      <c r="N151" s="1137"/>
      <c r="O151" s="1137"/>
      <c r="P151" s="1137"/>
      <c r="Q151" s="1137"/>
      <c r="R151" s="1429"/>
      <c r="S151" s="1424"/>
      <c r="T151" s="1138" t="s">
        <v>143</v>
      </c>
    </row>
    <row r="152" spans="1:20" s="1138" customFormat="1" ht="15" x14ac:dyDescent="0.2">
      <c r="A152" s="1139"/>
      <c r="B152" s="1435"/>
      <c r="C152" s="1425"/>
      <c r="D152" s="1425"/>
      <c r="E152" s="1434">
        <f t="shared" si="4"/>
        <v>0</v>
      </c>
      <c r="F152" s="1329"/>
      <c r="G152" s="1424"/>
      <c r="H152" s="1427"/>
      <c r="I152" s="1435"/>
      <c r="J152" s="1428"/>
      <c r="K152" s="1137"/>
      <c r="L152" s="1137"/>
      <c r="M152" s="1139"/>
      <c r="N152" s="1137"/>
      <c r="O152" s="1137"/>
      <c r="P152" s="1137"/>
      <c r="Q152" s="1137"/>
      <c r="R152" s="1429"/>
      <c r="S152" s="1424"/>
    </row>
    <row r="153" spans="1:20" s="1138" customFormat="1" ht="15" x14ac:dyDescent="0.2">
      <c r="A153" s="1139"/>
      <c r="B153" s="1435"/>
      <c r="C153" s="1425"/>
      <c r="D153" s="1425"/>
      <c r="E153" s="1434">
        <f t="shared" si="4"/>
        <v>0</v>
      </c>
      <c r="F153" s="1329"/>
      <c r="G153" s="1424"/>
      <c r="H153" s="1427"/>
      <c r="I153" s="1435"/>
      <c r="J153" s="1428"/>
      <c r="K153" s="1137"/>
      <c r="L153" s="1137"/>
      <c r="M153" s="1139"/>
      <c r="N153" s="1137"/>
      <c r="O153" s="1137"/>
      <c r="P153" s="1137"/>
      <c r="Q153" s="1137"/>
      <c r="R153" s="1429"/>
      <c r="S153" s="1424"/>
    </row>
    <row r="154" spans="1:20" s="1138" customFormat="1" ht="15" x14ac:dyDescent="0.2">
      <c r="A154" s="1139"/>
      <c r="B154" s="1435"/>
      <c r="C154" s="1425"/>
      <c r="D154" s="1425"/>
      <c r="E154" s="1434">
        <f t="shared" si="4"/>
        <v>0</v>
      </c>
      <c r="F154" s="1329"/>
      <c r="G154" s="1424"/>
      <c r="H154" s="1427"/>
      <c r="I154" s="1435"/>
      <c r="J154" s="1428"/>
      <c r="K154" s="1137"/>
      <c r="L154" s="1137"/>
      <c r="M154" s="1139"/>
      <c r="N154" s="1137"/>
      <c r="O154" s="1137"/>
      <c r="P154" s="1137"/>
      <c r="Q154" s="1137"/>
      <c r="R154" s="1429"/>
      <c r="S154" s="1424"/>
    </row>
    <row r="155" spans="1:20" s="1138" customFormat="1" ht="15" x14ac:dyDescent="0.2">
      <c r="A155" s="1139"/>
      <c r="B155" s="1435"/>
      <c r="C155" s="1425"/>
      <c r="D155" s="1425"/>
      <c r="E155" s="1434">
        <f t="shared" si="4"/>
        <v>0</v>
      </c>
      <c r="F155" s="1329"/>
      <c r="G155" s="1424"/>
      <c r="H155" s="1427"/>
      <c r="I155" s="1435"/>
      <c r="J155" s="1428"/>
      <c r="K155" s="1137"/>
      <c r="L155" s="1137"/>
      <c r="M155" s="1139"/>
      <c r="N155" s="1137"/>
      <c r="O155" s="1137"/>
      <c r="P155" s="1137"/>
      <c r="Q155" s="1137"/>
      <c r="R155" s="1429"/>
      <c r="S155" s="1424"/>
    </row>
    <row r="156" spans="1:20" s="1138" customFormat="1" ht="15" x14ac:dyDescent="0.2">
      <c r="A156" s="1139"/>
      <c r="B156" s="1435"/>
      <c r="C156" s="1425"/>
      <c r="D156" s="1425"/>
      <c r="E156" s="1434">
        <f t="shared" si="4"/>
        <v>0</v>
      </c>
      <c r="F156" s="1329"/>
      <c r="G156" s="1424"/>
      <c r="H156" s="1427"/>
      <c r="I156" s="1435"/>
      <c r="J156" s="1428"/>
      <c r="K156" s="1137"/>
      <c r="L156" s="1137"/>
      <c r="M156" s="1139"/>
      <c r="N156" s="1137"/>
      <c r="O156" s="1137"/>
      <c r="P156" s="1137"/>
      <c r="Q156" s="1137"/>
      <c r="R156" s="1429"/>
      <c r="S156" s="1424"/>
    </row>
    <row r="157" spans="1:20" s="1138" customFormat="1" ht="15" x14ac:dyDescent="0.2">
      <c r="A157" s="1139"/>
      <c r="B157" s="1435"/>
      <c r="C157" s="1425"/>
      <c r="D157" s="1425"/>
      <c r="E157" s="1434">
        <f t="shared" si="4"/>
        <v>0</v>
      </c>
      <c r="F157" s="1329"/>
      <c r="G157" s="1424"/>
      <c r="H157" s="1427"/>
      <c r="I157" s="1435"/>
      <c r="J157" s="1428"/>
      <c r="K157" s="1137"/>
      <c r="L157" s="1137"/>
      <c r="M157" s="1139"/>
      <c r="N157" s="1137"/>
      <c r="O157" s="1137"/>
      <c r="P157" s="1137"/>
      <c r="Q157" s="1137"/>
      <c r="R157" s="1429"/>
      <c r="S157" s="1424"/>
    </row>
    <row r="158" spans="1:20" s="1138" customFormat="1" ht="15" x14ac:dyDescent="0.2">
      <c r="A158" s="1139"/>
      <c r="B158" s="1435"/>
      <c r="C158" s="1425"/>
      <c r="D158" s="1425"/>
      <c r="E158" s="1434">
        <f t="shared" si="4"/>
        <v>0</v>
      </c>
      <c r="F158" s="1329"/>
      <c r="G158" s="1424"/>
      <c r="H158" s="1427"/>
      <c r="I158" s="1435"/>
      <c r="J158" s="1428"/>
      <c r="K158" s="1137"/>
      <c r="L158" s="1137"/>
      <c r="M158" s="1139"/>
      <c r="N158" s="1137"/>
      <c r="O158" s="1137"/>
      <c r="P158" s="1137"/>
      <c r="Q158" s="1137"/>
      <c r="R158" s="1429"/>
      <c r="S158" s="1424"/>
    </row>
    <row r="159" spans="1:20" s="1138" customFormat="1" ht="15" x14ac:dyDescent="0.2">
      <c r="A159" s="1139"/>
      <c r="B159" s="1435"/>
      <c r="C159" s="1425"/>
      <c r="D159" s="1425"/>
      <c r="E159" s="1434">
        <f t="shared" si="4"/>
        <v>0</v>
      </c>
      <c r="F159" s="1329"/>
      <c r="G159" s="1424"/>
      <c r="H159" s="1427"/>
      <c r="I159" s="1435"/>
      <c r="J159" s="1428"/>
      <c r="K159" s="1137"/>
      <c r="L159" s="1137"/>
      <c r="M159" s="1139"/>
      <c r="N159" s="1137"/>
      <c r="O159" s="1137"/>
      <c r="P159" s="1137"/>
      <c r="Q159" s="1137"/>
      <c r="R159" s="1429"/>
      <c r="S159" s="1424"/>
    </row>
    <row r="160" spans="1:20" s="1138" customFormat="1" ht="15" x14ac:dyDescent="0.2">
      <c r="A160" s="1139"/>
      <c r="B160" s="1435"/>
      <c r="C160" s="1425"/>
      <c r="D160" s="1425"/>
      <c r="E160" s="1434">
        <f t="shared" si="4"/>
        <v>0</v>
      </c>
      <c r="F160" s="1329"/>
      <c r="G160" s="1424"/>
      <c r="H160" s="1427"/>
      <c r="I160" s="1435"/>
      <c r="J160" s="1428"/>
      <c r="K160" s="1137"/>
      <c r="L160" s="1137"/>
      <c r="M160" s="1139"/>
      <c r="N160" s="1137"/>
      <c r="O160" s="1137"/>
      <c r="P160" s="1137"/>
      <c r="Q160" s="1137"/>
      <c r="R160" s="1429"/>
      <c r="S160" s="1424"/>
    </row>
    <row r="161" spans="1:20" s="1138" customFormat="1" ht="15" x14ac:dyDescent="0.2">
      <c r="A161" s="1139"/>
      <c r="B161" s="1435"/>
      <c r="C161" s="1425"/>
      <c r="D161" s="1425"/>
      <c r="E161" s="1434">
        <f t="shared" si="4"/>
        <v>0</v>
      </c>
      <c r="F161" s="1329"/>
      <c r="G161" s="1424"/>
      <c r="H161" s="1427"/>
      <c r="I161" s="1435"/>
      <c r="J161" s="1428"/>
      <c r="K161" s="1137"/>
      <c r="L161" s="1137"/>
      <c r="M161" s="1139"/>
      <c r="N161" s="1137"/>
      <c r="O161" s="1137"/>
      <c r="P161" s="1137"/>
      <c r="Q161" s="1137"/>
      <c r="R161" s="1429"/>
      <c r="S161" s="1424"/>
    </row>
    <row r="162" spans="1:20" s="1138" customFormat="1" ht="15" x14ac:dyDescent="0.2">
      <c r="A162" s="1139"/>
      <c r="B162" s="1435"/>
      <c r="C162" s="1425"/>
      <c r="D162" s="1425"/>
      <c r="E162" s="1434">
        <f t="shared" si="4"/>
        <v>0</v>
      </c>
      <c r="F162" s="1329"/>
      <c r="G162" s="1424"/>
      <c r="H162" s="1427"/>
      <c r="I162" s="1435"/>
      <c r="J162" s="1428"/>
      <c r="K162" s="1137"/>
      <c r="L162" s="1137"/>
      <c r="M162" s="1139"/>
      <c r="N162" s="1137"/>
      <c r="O162" s="1137"/>
      <c r="P162" s="1137"/>
      <c r="Q162" s="1137"/>
      <c r="R162" s="1429"/>
      <c r="S162" s="1424"/>
    </row>
    <row r="163" spans="1:20" s="1138" customFormat="1" ht="15" x14ac:dyDescent="0.2">
      <c r="A163" s="1139"/>
      <c r="B163" s="1435"/>
      <c r="C163" s="1425"/>
      <c r="D163" s="1425"/>
      <c r="E163" s="1434">
        <f t="shared" si="4"/>
        <v>0</v>
      </c>
      <c r="F163" s="1329"/>
      <c r="G163" s="1424"/>
      <c r="H163" s="1427"/>
      <c r="I163" s="1435"/>
      <c r="J163" s="1428"/>
      <c r="K163" s="1137"/>
      <c r="L163" s="1137"/>
      <c r="M163" s="1139"/>
      <c r="N163" s="1137"/>
      <c r="O163" s="1137"/>
      <c r="P163" s="1137"/>
      <c r="Q163" s="1137"/>
      <c r="R163" s="1429"/>
      <c r="S163" s="1424"/>
    </row>
    <row r="164" spans="1:20" s="1138" customFormat="1" ht="15" x14ac:dyDescent="0.2">
      <c r="A164" s="1139"/>
      <c r="B164" s="1435"/>
      <c r="C164" s="1425"/>
      <c r="D164" s="1425"/>
      <c r="E164" s="1434">
        <f t="shared" si="4"/>
        <v>0</v>
      </c>
      <c r="F164" s="1329"/>
      <c r="G164" s="1424"/>
      <c r="H164" s="1427"/>
      <c r="I164" s="1435"/>
      <c r="J164" s="1428"/>
      <c r="K164" s="1137"/>
      <c r="L164" s="1137"/>
      <c r="M164" s="1139"/>
      <c r="N164" s="1137"/>
      <c r="O164" s="1137"/>
      <c r="P164" s="1137"/>
      <c r="Q164" s="1137"/>
      <c r="R164" s="1429"/>
      <c r="S164" s="1424"/>
    </row>
    <row r="165" spans="1:20" s="1138" customFormat="1" ht="15" x14ac:dyDescent="0.2">
      <c r="A165" s="1139"/>
      <c r="B165" s="1435"/>
      <c r="C165" s="1425"/>
      <c r="D165" s="1425"/>
      <c r="E165" s="1434">
        <f t="shared" si="4"/>
        <v>0</v>
      </c>
      <c r="F165" s="1329"/>
      <c r="G165" s="1424"/>
      <c r="H165" s="1427"/>
      <c r="I165" s="1435"/>
      <c r="J165" s="1428"/>
      <c r="K165" s="1137"/>
      <c r="L165" s="1137"/>
      <c r="M165" s="1139"/>
      <c r="N165" s="1137"/>
      <c r="O165" s="1137"/>
      <c r="P165" s="1137"/>
      <c r="Q165" s="1137"/>
      <c r="R165" s="1429"/>
      <c r="S165" s="1424"/>
    </row>
    <row r="166" spans="1:20" s="1138" customFormat="1" ht="15" x14ac:dyDescent="0.2">
      <c r="A166" s="1139"/>
      <c r="B166" s="1435"/>
      <c r="C166" s="1425"/>
      <c r="D166" s="1425"/>
      <c r="E166" s="1434">
        <f t="shared" si="4"/>
        <v>0</v>
      </c>
      <c r="F166" s="1329"/>
      <c r="G166" s="1424"/>
      <c r="H166" s="1427"/>
      <c r="I166" s="1435"/>
      <c r="J166" s="1428"/>
      <c r="K166" s="1137"/>
      <c r="L166" s="1137"/>
      <c r="M166" s="1139"/>
      <c r="N166" s="1137"/>
      <c r="O166" s="1137"/>
      <c r="P166" s="1137"/>
      <c r="Q166" s="1137"/>
      <c r="R166" s="1429"/>
      <c r="S166" s="1424"/>
    </row>
    <row r="167" spans="1:20" s="1138" customFormat="1" ht="15" x14ac:dyDescent="0.2">
      <c r="A167" s="1139"/>
      <c r="B167" s="1435"/>
      <c r="C167" s="1425"/>
      <c r="D167" s="1425"/>
      <c r="E167" s="1434">
        <f t="shared" si="4"/>
        <v>0</v>
      </c>
      <c r="F167" s="1329"/>
      <c r="G167" s="1424"/>
      <c r="H167" s="1427"/>
      <c r="I167" s="1435"/>
      <c r="J167" s="1428"/>
      <c r="K167" s="1137"/>
      <c r="L167" s="1137"/>
      <c r="M167" s="1139"/>
      <c r="N167" s="1137"/>
      <c r="O167" s="1137"/>
      <c r="P167" s="1137"/>
      <c r="Q167" s="1137"/>
      <c r="R167" s="1429"/>
      <c r="S167" s="1424"/>
    </row>
    <row r="168" spans="1:20" s="1138" customFormat="1" ht="15" x14ac:dyDescent="0.2">
      <c r="A168" s="1139"/>
      <c r="B168" s="1435"/>
      <c r="C168" s="1425"/>
      <c r="D168" s="1425"/>
      <c r="E168" s="1434">
        <f t="shared" si="4"/>
        <v>0</v>
      </c>
      <c r="F168" s="1329"/>
      <c r="G168" s="1424"/>
      <c r="H168" s="1427"/>
      <c r="I168" s="1435"/>
      <c r="J168" s="1428"/>
      <c r="K168" s="1137"/>
      <c r="L168" s="1137"/>
      <c r="M168" s="1139"/>
      <c r="N168" s="1137"/>
      <c r="O168" s="1137"/>
      <c r="P168" s="1137"/>
      <c r="Q168" s="1137"/>
      <c r="R168" s="1429"/>
      <c r="S168" s="1424"/>
      <c r="T168" s="1138" t="s">
        <v>143</v>
      </c>
    </row>
    <row r="169" spans="1:20" s="1138" customFormat="1" ht="15" x14ac:dyDescent="0.2">
      <c r="A169" s="1139"/>
      <c r="B169" s="1435"/>
      <c r="C169" s="1425"/>
      <c r="D169" s="1425"/>
      <c r="E169" s="1434">
        <f t="shared" si="4"/>
        <v>0</v>
      </c>
      <c r="F169" s="1329"/>
      <c r="G169" s="1424"/>
      <c r="H169" s="1427"/>
      <c r="I169" s="1435"/>
      <c r="J169" s="1428"/>
      <c r="K169" s="1137"/>
      <c r="L169" s="1137"/>
      <c r="M169" s="1139"/>
      <c r="N169" s="1137"/>
      <c r="O169" s="1137"/>
      <c r="P169" s="1137"/>
      <c r="Q169" s="1137"/>
      <c r="R169" s="1429"/>
      <c r="S169" s="1424"/>
    </row>
    <row r="170" spans="1:20" s="1138" customFormat="1" ht="15" x14ac:dyDescent="0.2">
      <c r="A170" s="1139"/>
      <c r="B170" s="1435"/>
      <c r="C170" s="1425"/>
      <c r="D170" s="1425"/>
      <c r="E170" s="1434">
        <f t="shared" si="4"/>
        <v>0</v>
      </c>
      <c r="F170" s="1329"/>
      <c r="G170" s="1424"/>
      <c r="H170" s="1427"/>
      <c r="I170" s="1435"/>
      <c r="J170" s="1428"/>
      <c r="K170" s="1137"/>
      <c r="L170" s="1137"/>
      <c r="M170" s="1139"/>
      <c r="N170" s="1137"/>
      <c r="O170" s="1137"/>
      <c r="P170" s="1137"/>
      <c r="Q170" s="1137"/>
      <c r="R170" s="1429"/>
      <c r="S170" s="1424"/>
    </row>
    <row r="171" spans="1:20" s="1138" customFormat="1" ht="15" x14ac:dyDescent="0.2">
      <c r="A171" s="1139"/>
      <c r="B171" s="1435"/>
      <c r="C171" s="1425"/>
      <c r="D171" s="1425"/>
      <c r="E171" s="1434">
        <f t="shared" si="4"/>
        <v>0</v>
      </c>
      <c r="F171" s="1329"/>
      <c r="G171" s="1424"/>
      <c r="H171" s="1427"/>
      <c r="I171" s="1435"/>
      <c r="J171" s="1428"/>
      <c r="K171" s="1137"/>
      <c r="L171" s="1137"/>
      <c r="M171" s="1139"/>
      <c r="N171" s="1137"/>
      <c r="O171" s="1137"/>
      <c r="P171" s="1137"/>
      <c r="Q171" s="1137"/>
      <c r="R171" s="1429"/>
      <c r="S171" s="1424"/>
    </row>
    <row r="172" spans="1:20" s="1138" customFormat="1" ht="15" x14ac:dyDescent="0.2">
      <c r="A172" s="1139"/>
      <c r="B172" s="1435"/>
      <c r="C172" s="1425"/>
      <c r="D172" s="1425"/>
      <c r="E172" s="1434">
        <f t="shared" si="4"/>
        <v>0</v>
      </c>
      <c r="F172" s="1329"/>
      <c r="G172" s="1424"/>
      <c r="H172" s="1427"/>
      <c r="I172" s="1435"/>
      <c r="J172" s="1428"/>
      <c r="K172" s="1137"/>
      <c r="L172" s="1137"/>
      <c r="M172" s="1139"/>
      <c r="N172" s="1137"/>
      <c r="O172" s="1137"/>
      <c r="P172" s="1137"/>
      <c r="Q172" s="1137"/>
      <c r="R172" s="1429"/>
      <c r="S172" s="1424"/>
    </row>
    <row r="173" spans="1:20" s="1138" customFormat="1" ht="15" x14ac:dyDescent="0.2">
      <c r="A173" s="1139"/>
      <c r="B173" s="1435"/>
      <c r="C173" s="1425"/>
      <c r="D173" s="1425"/>
      <c r="E173" s="1434">
        <f>+C173-D173</f>
        <v>0</v>
      </c>
      <c r="F173" s="1329"/>
      <c r="G173" s="1424"/>
      <c r="H173" s="1427"/>
      <c r="I173" s="1435"/>
      <c r="J173" s="1428"/>
      <c r="K173" s="1137"/>
      <c r="L173" s="1137"/>
      <c r="M173" s="1139"/>
      <c r="N173" s="1137"/>
      <c r="O173" s="1137"/>
      <c r="P173" s="1137"/>
      <c r="Q173" s="1137"/>
      <c r="R173" s="1429"/>
      <c r="S173" s="1424"/>
    </row>
    <row r="174" spans="1:20" s="1138" customFormat="1" ht="15" x14ac:dyDescent="0.2">
      <c r="A174" s="1139"/>
      <c r="B174" s="1435"/>
      <c r="C174" s="1425"/>
      <c r="D174" s="1425"/>
      <c r="E174" s="1434">
        <f t="shared" ref="E174:E219" si="5">+C174-D174</f>
        <v>0</v>
      </c>
      <c r="F174" s="1329"/>
      <c r="G174" s="1424"/>
      <c r="H174" s="1427"/>
      <c r="I174" s="1435"/>
      <c r="J174" s="1428"/>
      <c r="K174" s="1137"/>
      <c r="L174" s="1137"/>
      <c r="M174" s="1139"/>
      <c r="N174" s="1137"/>
      <c r="O174" s="1137"/>
      <c r="P174" s="1137"/>
      <c r="Q174" s="1137"/>
      <c r="R174" s="1429"/>
      <c r="S174" s="1424"/>
    </row>
    <row r="175" spans="1:20" s="1138" customFormat="1" ht="15" x14ac:dyDescent="0.2">
      <c r="A175" s="1139"/>
      <c r="B175" s="1435"/>
      <c r="C175" s="1425"/>
      <c r="D175" s="1425"/>
      <c r="E175" s="1434">
        <f t="shared" si="5"/>
        <v>0</v>
      </c>
      <c r="F175" s="1329"/>
      <c r="G175" s="1424"/>
      <c r="H175" s="1427"/>
      <c r="I175" s="1435"/>
      <c r="J175" s="1428"/>
      <c r="K175" s="1137"/>
      <c r="L175" s="1137"/>
      <c r="M175" s="1139"/>
      <c r="N175" s="1137"/>
      <c r="O175" s="1137"/>
      <c r="P175" s="1137"/>
      <c r="Q175" s="1137"/>
      <c r="R175" s="1429"/>
      <c r="S175" s="1424"/>
    </row>
    <row r="176" spans="1:20" s="1138" customFormat="1" ht="15" x14ac:dyDescent="0.2">
      <c r="A176" s="1139"/>
      <c r="B176" s="1435"/>
      <c r="C176" s="1425"/>
      <c r="D176" s="1425"/>
      <c r="E176" s="1434">
        <f t="shared" si="5"/>
        <v>0</v>
      </c>
      <c r="F176" s="1329"/>
      <c r="G176" s="1424"/>
      <c r="H176" s="1427"/>
      <c r="I176" s="1435"/>
      <c r="J176" s="1428"/>
      <c r="K176" s="1137"/>
      <c r="L176" s="1137"/>
      <c r="M176" s="1139"/>
      <c r="N176" s="1137"/>
      <c r="O176" s="1137"/>
      <c r="P176" s="1137"/>
      <c r="Q176" s="1137"/>
      <c r="R176" s="1429"/>
      <c r="S176" s="1424"/>
    </row>
    <row r="177" spans="1:19" s="1138" customFormat="1" ht="15" x14ac:dyDescent="0.2">
      <c r="A177" s="1139"/>
      <c r="B177" s="1435"/>
      <c r="C177" s="1425"/>
      <c r="D177" s="1425"/>
      <c r="E177" s="1434">
        <f t="shared" si="5"/>
        <v>0</v>
      </c>
      <c r="F177" s="1329"/>
      <c r="G177" s="1424"/>
      <c r="H177" s="1427"/>
      <c r="I177" s="1435"/>
      <c r="J177" s="1428"/>
      <c r="K177" s="1137"/>
      <c r="L177" s="1137"/>
      <c r="M177" s="1139"/>
      <c r="N177" s="1137"/>
      <c r="O177" s="1137"/>
      <c r="P177" s="1137"/>
      <c r="Q177" s="1137"/>
      <c r="R177" s="1429"/>
      <c r="S177" s="1424"/>
    </row>
    <row r="178" spans="1:19" s="1138" customFormat="1" ht="15" x14ac:dyDescent="0.2">
      <c r="A178" s="1139"/>
      <c r="B178" s="1435"/>
      <c r="C178" s="1425"/>
      <c r="D178" s="1425"/>
      <c r="E178" s="1434">
        <f t="shared" si="5"/>
        <v>0</v>
      </c>
      <c r="F178" s="1329"/>
      <c r="G178" s="1424"/>
      <c r="H178" s="1427"/>
      <c r="I178" s="1435"/>
      <c r="J178" s="1428"/>
      <c r="K178" s="1137"/>
      <c r="L178" s="1137"/>
      <c r="M178" s="1139"/>
      <c r="N178" s="1137"/>
      <c r="O178" s="1137"/>
      <c r="P178" s="1137"/>
      <c r="Q178" s="1137"/>
      <c r="R178" s="1429"/>
      <c r="S178" s="1424"/>
    </row>
    <row r="179" spans="1:19" s="1138" customFormat="1" ht="15" x14ac:dyDescent="0.2">
      <c r="A179" s="1139"/>
      <c r="B179" s="1435"/>
      <c r="C179" s="1425"/>
      <c r="D179" s="1425"/>
      <c r="E179" s="1434">
        <f t="shared" si="5"/>
        <v>0</v>
      </c>
      <c r="F179" s="1329"/>
      <c r="G179" s="1424"/>
      <c r="H179" s="1427"/>
      <c r="I179" s="1435"/>
      <c r="J179" s="1428"/>
      <c r="K179" s="1137"/>
      <c r="L179" s="1137"/>
      <c r="M179" s="1139"/>
      <c r="N179" s="1137"/>
      <c r="O179" s="1137"/>
      <c r="P179" s="1137"/>
      <c r="Q179" s="1137"/>
      <c r="R179" s="1429"/>
      <c r="S179" s="1424"/>
    </row>
    <row r="180" spans="1:19" s="1138" customFormat="1" ht="15" x14ac:dyDescent="0.2">
      <c r="A180" s="1139"/>
      <c r="B180" s="1435"/>
      <c r="C180" s="1425"/>
      <c r="D180" s="1425"/>
      <c r="E180" s="1434">
        <f t="shared" si="5"/>
        <v>0</v>
      </c>
      <c r="F180" s="1329"/>
      <c r="G180" s="1424"/>
      <c r="H180" s="1427"/>
      <c r="I180" s="1435"/>
      <c r="J180" s="1428"/>
      <c r="K180" s="1137"/>
      <c r="L180" s="1137"/>
      <c r="M180" s="1139"/>
      <c r="N180" s="1137"/>
      <c r="O180" s="1137"/>
      <c r="P180" s="1137"/>
      <c r="Q180" s="1137"/>
      <c r="R180" s="1429"/>
      <c r="S180" s="1424"/>
    </row>
    <row r="181" spans="1:19" s="1138" customFormat="1" ht="15" x14ac:dyDescent="0.2">
      <c r="A181" s="1139"/>
      <c r="B181" s="1435"/>
      <c r="C181" s="1425"/>
      <c r="D181" s="1425"/>
      <c r="E181" s="1434">
        <f t="shared" si="5"/>
        <v>0</v>
      </c>
      <c r="F181" s="1329"/>
      <c r="G181" s="1424"/>
      <c r="H181" s="1427"/>
      <c r="I181" s="1435"/>
      <c r="J181" s="1428"/>
      <c r="K181" s="1137"/>
      <c r="L181" s="1137"/>
      <c r="M181" s="1139"/>
      <c r="N181" s="1137"/>
      <c r="O181" s="1137"/>
      <c r="P181" s="1137"/>
      <c r="Q181" s="1137"/>
      <c r="R181" s="1429"/>
      <c r="S181" s="1424"/>
    </row>
    <row r="182" spans="1:19" s="1138" customFormat="1" ht="15" x14ac:dyDescent="0.2">
      <c r="A182" s="1139"/>
      <c r="B182" s="1435"/>
      <c r="C182" s="1425"/>
      <c r="D182" s="1425"/>
      <c r="E182" s="1434">
        <f t="shared" si="5"/>
        <v>0</v>
      </c>
      <c r="F182" s="1329"/>
      <c r="G182" s="1424"/>
      <c r="H182" s="1427"/>
      <c r="I182" s="1435"/>
      <c r="J182" s="1428"/>
      <c r="K182" s="1137"/>
      <c r="L182" s="1137"/>
      <c r="M182" s="1139"/>
      <c r="N182" s="1137"/>
      <c r="O182" s="1137"/>
      <c r="P182" s="1137"/>
      <c r="Q182" s="1137"/>
      <c r="R182" s="1429"/>
      <c r="S182" s="1424"/>
    </row>
    <row r="183" spans="1:19" s="1138" customFormat="1" ht="15" x14ac:dyDescent="0.2">
      <c r="A183" s="1139"/>
      <c r="B183" s="1435"/>
      <c r="C183" s="1425"/>
      <c r="D183" s="1425"/>
      <c r="E183" s="1434">
        <f t="shared" si="5"/>
        <v>0</v>
      </c>
      <c r="F183" s="1329"/>
      <c r="G183" s="1424"/>
      <c r="H183" s="1427"/>
      <c r="I183" s="1435"/>
      <c r="J183" s="1428"/>
      <c r="K183" s="1137"/>
      <c r="L183" s="1137"/>
      <c r="M183" s="1139"/>
      <c r="N183" s="1137"/>
      <c r="O183" s="1137"/>
      <c r="P183" s="1137"/>
      <c r="Q183" s="1137"/>
      <c r="R183" s="1429"/>
      <c r="S183" s="1424"/>
    </row>
    <row r="184" spans="1:19" s="1138" customFormat="1" ht="15" x14ac:dyDescent="0.2">
      <c r="A184" s="1139"/>
      <c r="B184" s="1435"/>
      <c r="C184" s="1425"/>
      <c r="D184" s="1425"/>
      <c r="E184" s="1434">
        <f t="shared" si="5"/>
        <v>0</v>
      </c>
      <c r="F184" s="1329"/>
      <c r="G184" s="1424"/>
      <c r="H184" s="1427"/>
      <c r="I184" s="1435"/>
      <c r="J184" s="1428"/>
      <c r="K184" s="1137"/>
      <c r="L184" s="1137"/>
      <c r="M184" s="1139"/>
      <c r="N184" s="1137"/>
      <c r="O184" s="1137"/>
      <c r="P184" s="1137"/>
      <c r="Q184" s="1137"/>
      <c r="R184" s="1429"/>
      <c r="S184" s="1424"/>
    </row>
    <row r="185" spans="1:19" s="1138" customFormat="1" ht="15" x14ac:dyDescent="0.2">
      <c r="A185" s="1139"/>
      <c r="B185" s="1435"/>
      <c r="C185" s="1425"/>
      <c r="D185" s="1425"/>
      <c r="E185" s="1434">
        <f t="shared" si="5"/>
        <v>0</v>
      </c>
      <c r="F185" s="1329"/>
      <c r="G185" s="1424"/>
      <c r="H185" s="1427"/>
      <c r="I185" s="1435"/>
      <c r="J185" s="1428"/>
      <c r="K185" s="1137"/>
      <c r="L185" s="1137"/>
      <c r="M185" s="1139"/>
      <c r="N185" s="1137"/>
      <c r="O185" s="1137"/>
      <c r="P185" s="1137"/>
      <c r="Q185" s="1137"/>
      <c r="R185" s="1429"/>
      <c r="S185" s="1424"/>
    </row>
    <row r="186" spans="1:19" s="1138" customFormat="1" ht="15" x14ac:dyDescent="0.2">
      <c r="A186" s="1139"/>
      <c r="B186" s="1435"/>
      <c r="C186" s="1425"/>
      <c r="D186" s="1425"/>
      <c r="E186" s="1434">
        <f t="shared" si="5"/>
        <v>0</v>
      </c>
      <c r="F186" s="1329"/>
      <c r="G186" s="1424"/>
      <c r="H186" s="1427"/>
      <c r="I186" s="1435"/>
      <c r="J186" s="1428"/>
      <c r="K186" s="1137"/>
      <c r="L186" s="1137"/>
      <c r="M186" s="1139"/>
      <c r="N186" s="1137"/>
      <c r="O186" s="1137"/>
      <c r="P186" s="1137"/>
      <c r="Q186" s="1137"/>
      <c r="R186" s="1429"/>
      <c r="S186" s="1424"/>
    </row>
    <row r="187" spans="1:19" s="1138" customFormat="1" ht="15" x14ac:dyDescent="0.2">
      <c r="A187" s="1139"/>
      <c r="B187" s="1435"/>
      <c r="C187" s="1425"/>
      <c r="D187" s="1425"/>
      <c r="E187" s="1434">
        <f t="shared" si="5"/>
        <v>0</v>
      </c>
      <c r="F187" s="1329"/>
      <c r="G187" s="1424"/>
      <c r="H187" s="1427"/>
      <c r="I187" s="1435"/>
      <c r="J187" s="1428"/>
      <c r="K187" s="1137"/>
      <c r="L187" s="1137"/>
      <c r="M187" s="1139"/>
      <c r="N187" s="1137"/>
      <c r="O187" s="1137"/>
      <c r="P187" s="1137"/>
      <c r="Q187" s="1137"/>
      <c r="R187" s="1429"/>
      <c r="S187" s="1424"/>
    </row>
    <row r="188" spans="1:19" s="1138" customFormat="1" ht="15" x14ac:dyDescent="0.2">
      <c r="A188" s="1139"/>
      <c r="B188" s="1435"/>
      <c r="C188" s="1425"/>
      <c r="D188" s="1425"/>
      <c r="E188" s="1434">
        <f t="shared" si="5"/>
        <v>0</v>
      </c>
      <c r="F188" s="1329"/>
      <c r="G188" s="1424"/>
      <c r="H188" s="1427"/>
      <c r="I188" s="1435"/>
      <c r="J188" s="1428"/>
      <c r="K188" s="1137"/>
      <c r="L188" s="1137"/>
      <c r="M188" s="1139"/>
      <c r="N188" s="1137"/>
      <c r="O188" s="1137"/>
      <c r="P188" s="1137"/>
      <c r="Q188" s="1137"/>
      <c r="R188" s="1429"/>
      <c r="S188" s="1424"/>
    </row>
    <row r="189" spans="1:19" s="1138" customFormat="1" ht="15" x14ac:dyDescent="0.2">
      <c r="A189" s="1139"/>
      <c r="B189" s="1435"/>
      <c r="C189" s="1425"/>
      <c r="D189" s="1425"/>
      <c r="E189" s="1434">
        <f t="shared" si="5"/>
        <v>0</v>
      </c>
      <c r="F189" s="1329"/>
      <c r="G189" s="1424"/>
      <c r="H189" s="1427"/>
      <c r="I189" s="1435"/>
      <c r="J189" s="1428"/>
      <c r="K189" s="1137"/>
      <c r="L189" s="1137"/>
      <c r="M189" s="1139"/>
      <c r="N189" s="1137"/>
      <c r="O189" s="1137"/>
      <c r="P189" s="1137"/>
      <c r="Q189" s="1137"/>
      <c r="R189" s="1429"/>
      <c r="S189" s="1424"/>
    </row>
    <row r="190" spans="1:19" s="1138" customFormat="1" ht="15" x14ac:dyDescent="0.2">
      <c r="A190" s="1139"/>
      <c r="B190" s="1435"/>
      <c r="C190" s="1425"/>
      <c r="D190" s="1425"/>
      <c r="E190" s="1434">
        <f t="shared" si="5"/>
        <v>0</v>
      </c>
      <c r="F190" s="1329"/>
      <c r="G190" s="1424"/>
      <c r="H190" s="1427"/>
      <c r="I190" s="1435"/>
      <c r="J190" s="1428"/>
      <c r="K190" s="1137"/>
      <c r="L190" s="1137"/>
      <c r="M190" s="1139"/>
      <c r="N190" s="1137"/>
      <c r="O190" s="1137"/>
      <c r="P190" s="1137"/>
      <c r="Q190" s="1137"/>
      <c r="R190" s="1429"/>
      <c r="S190" s="1424"/>
    </row>
    <row r="191" spans="1:19" s="1138" customFormat="1" ht="15" x14ac:dyDescent="0.2">
      <c r="A191" s="1139"/>
      <c r="B191" s="1435"/>
      <c r="C191" s="1425"/>
      <c r="D191" s="1425"/>
      <c r="E191" s="1434">
        <f t="shared" si="5"/>
        <v>0</v>
      </c>
      <c r="F191" s="1329"/>
      <c r="G191" s="1424"/>
      <c r="H191" s="1427"/>
      <c r="I191" s="1435"/>
      <c r="J191" s="1428"/>
      <c r="K191" s="1137"/>
      <c r="L191" s="1137"/>
      <c r="M191" s="1139"/>
      <c r="N191" s="1137"/>
      <c r="O191" s="1137"/>
      <c r="P191" s="1137"/>
      <c r="Q191" s="1137"/>
      <c r="R191" s="1429"/>
      <c r="S191" s="1424"/>
    </row>
    <row r="192" spans="1:19" s="1138" customFormat="1" ht="15" x14ac:dyDescent="0.2">
      <c r="A192" s="1139"/>
      <c r="B192" s="1435"/>
      <c r="C192" s="1425"/>
      <c r="D192" s="1425"/>
      <c r="E192" s="1434">
        <f t="shared" si="5"/>
        <v>0</v>
      </c>
      <c r="F192" s="1329"/>
      <c r="G192" s="1424"/>
      <c r="H192" s="1427"/>
      <c r="I192" s="1435"/>
      <c r="J192" s="1428"/>
      <c r="K192" s="1137"/>
      <c r="L192" s="1137"/>
      <c r="M192" s="1139"/>
      <c r="N192" s="1137"/>
      <c r="O192" s="1137"/>
      <c r="P192" s="1137"/>
      <c r="Q192" s="1137"/>
      <c r="R192" s="1429"/>
      <c r="S192" s="1424"/>
    </row>
    <row r="193" spans="1:19" s="1138" customFormat="1" ht="15" x14ac:dyDescent="0.2">
      <c r="A193" s="1139"/>
      <c r="B193" s="1435"/>
      <c r="C193" s="1425"/>
      <c r="D193" s="1425"/>
      <c r="E193" s="1434">
        <f t="shared" si="5"/>
        <v>0</v>
      </c>
      <c r="F193" s="1329"/>
      <c r="G193" s="1424"/>
      <c r="H193" s="1427"/>
      <c r="I193" s="1435"/>
      <c r="J193" s="1428"/>
      <c r="K193" s="1137"/>
      <c r="L193" s="1137"/>
      <c r="M193" s="1139"/>
      <c r="N193" s="1137"/>
      <c r="O193" s="1137"/>
      <c r="P193" s="1137"/>
      <c r="Q193" s="1137"/>
      <c r="R193" s="1429"/>
      <c r="S193" s="1424"/>
    </row>
    <row r="194" spans="1:19" s="1138" customFormat="1" ht="15" x14ac:dyDescent="0.2">
      <c r="A194" s="1139"/>
      <c r="B194" s="1435"/>
      <c r="C194" s="1425"/>
      <c r="D194" s="1425"/>
      <c r="E194" s="1434">
        <f t="shared" si="5"/>
        <v>0</v>
      </c>
      <c r="F194" s="1329"/>
      <c r="G194" s="1424"/>
      <c r="H194" s="1427"/>
      <c r="I194" s="1435"/>
      <c r="J194" s="1428"/>
      <c r="K194" s="1137"/>
      <c r="L194" s="1137"/>
      <c r="M194" s="1139"/>
      <c r="N194" s="1137"/>
      <c r="O194" s="1137"/>
      <c r="P194" s="1137"/>
      <c r="Q194" s="1137"/>
      <c r="R194" s="1429"/>
      <c r="S194" s="1424"/>
    </row>
    <row r="195" spans="1:19" s="1138" customFormat="1" ht="15" x14ac:dyDescent="0.2">
      <c r="A195" s="1139"/>
      <c r="B195" s="1435"/>
      <c r="C195" s="1425"/>
      <c r="D195" s="1425"/>
      <c r="E195" s="1434">
        <f t="shared" si="5"/>
        <v>0</v>
      </c>
      <c r="F195" s="1329"/>
      <c r="G195" s="1424"/>
      <c r="H195" s="1427"/>
      <c r="I195" s="1435"/>
      <c r="J195" s="1428"/>
      <c r="K195" s="1137"/>
      <c r="L195" s="1137"/>
      <c r="M195" s="1139"/>
      <c r="N195" s="1137"/>
      <c r="O195" s="1137"/>
      <c r="P195" s="1137"/>
      <c r="Q195" s="1137"/>
      <c r="R195" s="1429"/>
      <c r="S195" s="1424"/>
    </row>
    <row r="196" spans="1:19" s="1138" customFormat="1" ht="15" x14ac:dyDescent="0.2">
      <c r="A196" s="1139"/>
      <c r="B196" s="1435"/>
      <c r="C196" s="1425"/>
      <c r="D196" s="1425"/>
      <c r="E196" s="1434">
        <f t="shared" si="5"/>
        <v>0</v>
      </c>
      <c r="F196" s="1329"/>
      <c r="G196" s="1424"/>
      <c r="H196" s="1427"/>
      <c r="I196" s="1435"/>
      <c r="J196" s="1428"/>
      <c r="K196" s="1137"/>
      <c r="L196" s="1137"/>
      <c r="M196" s="1139"/>
      <c r="N196" s="1137"/>
      <c r="O196" s="1137"/>
      <c r="P196" s="1137"/>
      <c r="Q196" s="1137"/>
      <c r="R196" s="1429"/>
      <c r="S196" s="1424"/>
    </row>
    <row r="197" spans="1:19" s="1138" customFormat="1" ht="15" x14ac:dyDescent="0.2">
      <c r="A197" s="1139"/>
      <c r="B197" s="1435"/>
      <c r="C197" s="1425"/>
      <c r="D197" s="1425"/>
      <c r="E197" s="1434">
        <f t="shared" si="5"/>
        <v>0</v>
      </c>
      <c r="F197" s="1329"/>
      <c r="G197" s="1424"/>
      <c r="H197" s="1427"/>
      <c r="I197" s="1435"/>
      <c r="J197" s="1428"/>
      <c r="K197" s="1137"/>
      <c r="L197" s="1137"/>
      <c r="M197" s="1139"/>
      <c r="N197" s="1137"/>
      <c r="O197" s="1137"/>
      <c r="P197" s="1137"/>
      <c r="Q197" s="1137"/>
      <c r="R197" s="1429"/>
      <c r="S197" s="1424"/>
    </row>
    <row r="198" spans="1:19" s="1138" customFormat="1" ht="15" x14ac:dyDescent="0.2">
      <c r="A198" s="1139"/>
      <c r="B198" s="1435"/>
      <c r="C198" s="1425"/>
      <c r="D198" s="1425"/>
      <c r="E198" s="1434">
        <f t="shared" si="5"/>
        <v>0</v>
      </c>
      <c r="F198" s="1329"/>
      <c r="G198" s="1424"/>
      <c r="H198" s="1427"/>
      <c r="I198" s="1435"/>
      <c r="J198" s="1428"/>
      <c r="K198" s="1137"/>
      <c r="L198" s="1137"/>
      <c r="M198" s="1139"/>
      <c r="N198" s="1137"/>
      <c r="O198" s="1137"/>
      <c r="P198" s="1137"/>
      <c r="Q198" s="1137"/>
      <c r="R198" s="1429"/>
      <c r="S198" s="1424"/>
    </row>
    <row r="199" spans="1:19" s="1138" customFormat="1" ht="15" x14ac:dyDescent="0.2">
      <c r="A199" s="1139"/>
      <c r="B199" s="1435"/>
      <c r="C199" s="1425"/>
      <c r="D199" s="1425"/>
      <c r="E199" s="1434">
        <f t="shared" si="5"/>
        <v>0</v>
      </c>
      <c r="F199" s="1329"/>
      <c r="G199" s="1424"/>
      <c r="H199" s="1427"/>
      <c r="I199" s="1435"/>
      <c r="J199" s="1428"/>
      <c r="K199" s="1137"/>
      <c r="L199" s="1137"/>
      <c r="M199" s="1139"/>
      <c r="N199" s="1137"/>
      <c r="O199" s="1137"/>
      <c r="P199" s="1137"/>
      <c r="Q199" s="1137"/>
      <c r="R199" s="1429"/>
      <c r="S199" s="1424"/>
    </row>
    <row r="200" spans="1:19" s="1138" customFormat="1" ht="15" x14ac:dyDescent="0.2">
      <c r="A200" s="1139"/>
      <c r="B200" s="1435"/>
      <c r="C200" s="1425"/>
      <c r="D200" s="1425"/>
      <c r="E200" s="1434">
        <f t="shared" si="5"/>
        <v>0</v>
      </c>
      <c r="F200" s="1329"/>
      <c r="G200" s="1424"/>
      <c r="H200" s="1427"/>
      <c r="I200" s="1435"/>
      <c r="J200" s="1428"/>
      <c r="K200" s="1137"/>
      <c r="L200" s="1137"/>
      <c r="M200" s="1139"/>
      <c r="N200" s="1137"/>
      <c r="O200" s="1137"/>
      <c r="P200" s="1137"/>
      <c r="Q200" s="1137"/>
      <c r="R200" s="1429"/>
      <c r="S200" s="1424"/>
    </row>
    <row r="201" spans="1:19" s="1138" customFormat="1" ht="15" x14ac:dyDescent="0.2">
      <c r="A201" s="1139"/>
      <c r="B201" s="1435"/>
      <c r="C201" s="1425"/>
      <c r="D201" s="1425"/>
      <c r="E201" s="1434">
        <f t="shared" si="5"/>
        <v>0</v>
      </c>
      <c r="F201" s="1329"/>
      <c r="G201" s="1424"/>
      <c r="H201" s="1427"/>
      <c r="I201" s="1435"/>
      <c r="J201" s="1428"/>
      <c r="K201" s="1137"/>
      <c r="L201" s="1137"/>
      <c r="M201" s="1139"/>
      <c r="N201" s="1137"/>
      <c r="O201" s="1137"/>
      <c r="P201" s="1137"/>
      <c r="Q201" s="1137"/>
      <c r="R201" s="1429"/>
      <c r="S201" s="1424"/>
    </row>
    <row r="202" spans="1:19" s="1138" customFormat="1" ht="15" x14ac:dyDescent="0.2">
      <c r="A202" s="1139"/>
      <c r="B202" s="1435"/>
      <c r="C202" s="1425"/>
      <c r="D202" s="1425"/>
      <c r="E202" s="1434">
        <f t="shared" si="5"/>
        <v>0</v>
      </c>
      <c r="F202" s="1329"/>
      <c r="G202" s="1424"/>
      <c r="H202" s="1427"/>
      <c r="I202" s="1435"/>
      <c r="J202" s="1428"/>
      <c r="K202" s="1137"/>
      <c r="L202" s="1137"/>
      <c r="M202" s="1139"/>
      <c r="N202" s="1137"/>
      <c r="O202" s="1137"/>
      <c r="P202" s="1137"/>
      <c r="Q202" s="1137"/>
      <c r="R202" s="1429"/>
      <c r="S202" s="1424"/>
    </row>
    <row r="203" spans="1:19" s="1138" customFormat="1" ht="15" x14ac:dyDescent="0.2">
      <c r="A203" s="1139"/>
      <c r="B203" s="1435"/>
      <c r="C203" s="1425"/>
      <c r="D203" s="1425"/>
      <c r="E203" s="1434">
        <f t="shared" si="5"/>
        <v>0</v>
      </c>
      <c r="F203" s="1329"/>
      <c r="G203" s="1424"/>
      <c r="H203" s="1427"/>
      <c r="I203" s="1435"/>
      <c r="J203" s="1428"/>
      <c r="K203" s="1137"/>
      <c r="L203" s="1137"/>
      <c r="M203" s="1139"/>
      <c r="N203" s="1137"/>
      <c r="O203" s="1137"/>
      <c r="P203" s="1137"/>
      <c r="Q203" s="1137"/>
      <c r="R203" s="1429"/>
      <c r="S203" s="1424"/>
    </row>
    <row r="204" spans="1:19" s="1138" customFormat="1" ht="15" x14ac:dyDescent="0.2">
      <c r="A204" s="1139"/>
      <c r="B204" s="1435"/>
      <c r="C204" s="1425"/>
      <c r="D204" s="1425"/>
      <c r="E204" s="1434">
        <f t="shared" si="5"/>
        <v>0</v>
      </c>
      <c r="F204" s="1329"/>
      <c r="G204" s="1424"/>
      <c r="H204" s="1427"/>
      <c r="I204" s="1435"/>
      <c r="J204" s="1428"/>
      <c r="K204" s="1137"/>
      <c r="L204" s="1137"/>
      <c r="M204" s="1139"/>
      <c r="N204" s="1137"/>
      <c r="O204" s="1137"/>
      <c r="P204" s="1137"/>
      <c r="Q204" s="1137"/>
      <c r="R204" s="1429"/>
      <c r="S204" s="1424"/>
    </row>
    <row r="205" spans="1:19" s="1138" customFormat="1" ht="15" x14ac:dyDescent="0.2">
      <c r="A205" s="1139"/>
      <c r="B205" s="1435"/>
      <c r="C205" s="1425"/>
      <c r="D205" s="1425"/>
      <c r="E205" s="1434">
        <f t="shared" si="5"/>
        <v>0</v>
      </c>
      <c r="F205" s="1329"/>
      <c r="G205" s="1424"/>
      <c r="H205" s="1427"/>
      <c r="I205" s="1435"/>
      <c r="J205" s="1428"/>
      <c r="K205" s="1137"/>
      <c r="L205" s="1137"/>
      <c r="M205" s="1139"/>
      <c r="N205" s="1137"/>
      <c r="O205" s="1137"/>
      <c r="P205" s="1137"/>
      <c r="Q205" s="1137"/>
      <c r="R205" s="1429"/>
      <c r="S205" s="1424"/>
    </row>
    <row r="206" spans="1:19" s="1138" customFormat="1" ht="15" x14ac:dyDescent="0.2">
      <c r="A206" s="1139"/>
      <c r="B206" s="1435"/>
      <c r="C206" s="1425"/>
      <c r="D206" s="1425"/>
      <c r="E206" s="1434">
        <f t="shared" si="5"/>
        <v>0</v>
      </c>
      <c r="F206" s="1329"/>
      <c r="G206" s="1424"/>
      <c r="H206" s="1427"/>
      <c r="I206" s="1435"/>
      <c r="J206" s="1428"/>
      <c r="K206" s="1137"/>
      <c r="L206" s="1137"/>
      <c r="M206" s="1139"/>
      <c r="N206" s="1137"/>
      <c r="O206" s="1137"/>
      <c r="P206" s="1137"/>
      <c r="Q206" s="1137"/>
      <c r="R206" s="1429"/>
      <c r="S206" s="1424"/>
    </row>
    <row r="207" spans="1:19" s="1138" customFormat="1" ht="15" x14ac:dyDescent="0.2">
      <c r="A207" s="1139"/>
      <c r="B207" s="1435"/>
      <c r="C207" s="1425"/>
      <c r="D207" s="1425"/>
      <c r="E207" s="1434">
        <f t="shared" si="5"/>
        <v>0</v>
      </c>
      <c r="F207" s="1329"/>
      <c r="G207" s="1424"/>
      <c r="H207" s="1427"/>
      <c r="I207" s="1435"/>
      <c r="J207" s="1428"/>
      <c r="K207" s="1137"/>
      <c r="L207" s="1137"/>
      <c r="M207" s="1139"/>
      <c r="N207" s="1137"/>
      <c r="O207" s="1137"/>
      <c r="P207" s="1137"/>
      <c r="Q207" s="1137"/>
      <c r="R207" s="1429"/>
      <c r="S207" s="1424"/>
    </row>
    <row r="208" spans="1:19" s="1138" customFormat="1" ht="15" x14ac:dyDescent="0.2">
      <c r="A208" s="1139"/>
      <c r="B208" s="1435"/>
      <c r="C208" s="1425"/>
      <c r="D208" s="1425"/>
      <c r="E208" s="1434">
        <f t="shared" si="5"/>
        <v>0</v>
      </c>
      <c r="F208" s="1329"/>
      <c r="G208" s="1424"/>
      <c r="H208" s="1427"/>
      <c r="I208" s="1435"/>
      <c r="J208" s="1428"/>
      <c r="K208" s="1137"/>
      <c r="L208" s="1137"/>
      <c r="M208" s="1139"/>
      <c r="N208" s="1137"/>
      <c r="O208" s="1137"/>
      <c r="P208" s="1137"/>
      <c r="Q208" s="1137"/>
      <c r="R208" s="1429"/>
      <c r="S208" s="1424"/>
    </row>
    <row r="209" spans="1:19" s="1138" customFormat="1" ht="15" x14ac:dyDescent="0.2">
      <c r="A209" s="1139"/>
      <c r="B209" s="1435"/>
      <c r="C209" s="1425"/>
      <c r="D209" s="1425"/>
      <c r="E209" s="1434">
        <f t="shared" si="5"/>
        <v>0</v>
      </c>
      <c r="F209" s="1329"/>
      <c r="G209" s="1424"/>
      <c r="H209" s="1427"/>
      <c r="I209" s="1435"/>
      <c r="J209" s="1428"/>
      <c r="K209" s="1137"/>
      <c r="L209" s="1137"/>
      <c r="M209" s="1139"/>
      <c r="N209" s="1137"/>
      <c r="O209" s="1137"/>
      <c r="P209" s="1137"/>
      <c r="Q209" s="1137"/>
      <c r="R209" s="1429"/>
      <c r="S209" s="1424"/>
    </row>
    <row r="210" spans="1:19" s="1138" customFormat="1" ht="15" x14ac:dyDescent="0.2">
      <c r="A210" s="1139"/>
      <c r="B210" s="1435"/>
      <c r="C210" s="1425"/>
      <c r="D210" s="1425"/>
      <c r="E210" s="1434">
        <f t="shared" si="5"/>
        <v>0</v>
      </c>
      <c r="F210" s="1329"/>
      <c r="G210" s="1424"/>
      <c r="H210" s="1427"/>
      <c r="I210" s="1435"/>
      <c r="J210" s="1428"/>
      <c r="K210" s="1137"/>
      <c r="L210" s="1137"/>
      <c r="M210" s="1139"/>
      <c r="N210" s="1137"/>
      <c r="O210" s="1137"/>
      <c r="P210" s="1137"/>
      <c r="Q210" s="1137"/>
      <c r="R210" s="1429"/>
      <c r="S210" s="1424"/>
    </row>
    <row r="211" spans="1:19" s="1138" customFormat="1" ht="15" x14ac:dyDescent="0.2">
      <c r="A211" s="1139"/>
      <c r="B211" s="1435"/>
      <c r="C211" s="1425"/>
      <c r="D211" s="1425"/>
      <c r="E211" s="1434">
        <f t="shared" si="5"/>
        <v>0</v>
      </c>
      <c r="F211" s="1329"/>
      <c r="G211" s="1424"/>
      <c r="H211" s="1427"/>
      <c r="I211" s="1435"/>
      <c r="J211" s="1428"/>
      <c r="K211" s="1137"/>
      <c r="L211" s="1137"/>
      <c r="M211" s="1139"/>
      <c r="N211" s="1137"/>
      <c r="O211" s="1137"/>
      <c r="P211" s="1137"/>
      <c r="Q211" s="1137"/>
      <c r="R211" s="1429"/>
      <c r="S211" s="1424"/>
    </row>
    <row r="212" spans="1:19" s="1138" customFormat="1" ht="15" x14ac:dyDescent="0.2">
      <c r="A212" s="1139"/>
      <c r="B212" s="1435"/>
      <c r="C212" s="1425"/>
      <c r="D212" s="1425"/>
      <c r="E212" s="1434">
        <f t="shared" si="5"/>
        <v>0</v>
      </c>
      <c r="F212" s="1329"/>
      <c r="G212" s="1424"/>
      <c r="H212" s="1427"/>
      <c r="I212" s="1435"/>
      <c r="J212" s="1428"/>
      <c r="K212" s="1137"/>
      <c r="L212" s="1137"/>
      <c r="M212" s="1139"/>
      <c r="N212" s="1137"/>
      <c r="O212" s="1137"/>
      <c r="P212" s="1137"/>
      <c r="Q212" s="1137"/>
      <c r="R212" s="1429"/>
      <c r="S212" s="1424"/>
    </row>
    <row r="213" spans="1:19" s="1138" customFormat="1" ht="15" x14ac:dyDescent="0.2">
      <c r="A213" s="1139"/>
      <c r="B213" s="1435"/>
      <c r="C213" s="1425"/>
      <c r="D213" s="1425"/>
      <c r="E213" s="1434">
        <f t="shared" si="5"/>
        <v>0</v>
      </c>
      <c r="F213" s="1329"/>
      <c r="G213" s="1424"/>
      <c r="H213" s="1427"/>
      <c r="I213" s="1435"/>
      <c r="J213" s="1428"/>
      <c r="K213" s="1137"/>
      <c r="L213" s="1137"/>
      <c r="M213" s="1139"/>
      <c r="N213" s="1137"/>
      <c r="O213" s="1137"/>
      <c r="P213" s="1137"/>
      <c r="Q213" s="1137"/>
      <c r="R213" s="1429"/>
      <c r="S213" s="1424"/>
    </row>
    <row r="214" spans="1:19" s="1138" customFormat="1" ht="15" x14ac:dyDescent="0.2">
      <c r="A214" s="1139"/>
      <c r="B214" s="1435"/>
      <c r="C214" s="1425"/>
      <c r="D214" s="1425"/>
      <c r="E214" s="1434">
        <f t="shared" si="5"/>
        <v>0</v>
      </c>
      <c r="F214" s="1329"/>
      <c r="G214" s="1424"/>
      <c r="H214" s="1427"/>
      <c r="I214" s="1435"/>
      <c r="J214" s="1428"/>
      <c r="K214" s="1137"/>
      <c r="L214" s="1137"/>
      <c r="M214" s="1139"/>
      <c r="N214" s="1137"/>
      <c r="O214" s="1137"/>
      <c r="P214" s="1137"/>
      <c r="Q214" s="1137"/>
      <c r="R214" s="1429"/>
      <c r="S214" s="1424"/>
    </row>
    <row r="215" spans="1:19" s="1138" customFormat="1" ht="15" x14ac:dyDescent="0.2">
      <c r="A215" s="1139"/>
      <c r="B215" s="1435"/>
      <c r="C215" s="1425"/>
      <c r="D215" s="1425"/>
      <c r="E215" s="1434">
        <f t="shared" si="5"/>
        <v>0</v>
      </c>
      <c r="F215" s="1329"/>
      <c r="G215" s="1424"/>
      <c r="H215" s="1427"/>
      <c r="I215" s="1435"/>
      <c r="J215" s="1428"/>
      <c r="K215" s="1137"/>
      <c r="L215" s="1137"/>
      <c r="M215" s="1139"/>
      <c r="N215" s="1137"/>
      <c r="O215" s="1137"/>
      <c r="P215" s="1137"/>
      <c r="Q215" s="1137"/>
      <c r="R215" s="1429"/>
      <c r="S215" s="1424"/>
    </row>
    <row r="216" spans="1:19" s="1138" customFormat="1" ht="15" x14ac:dyDescent="0.2">
      <c r="A216" s="1139"/>
      <c r="B216" s="1435"/>
      <c r="C216" s="1425"/>
      <c r="D216" s="1425"/>
      <c r="E216" s="1434">
        <f t="shared" si="5"/>
        <v>0</v>
      </c>
      <c r="F216" s="1329"/>
      <c r="G216" s="1424"/>
      <c r="H216" s="1427"/>
      <c r="I216" s="1435"/>
      <c r="J216" s="1428"/>
      <c r="K216" s="1137"/>
      <c r="L216" s="1137"/>
      <c r="M216" s="1139"/>
      <c r="N216" s="1137"/>
      <c r="O216" s="1137"/>
      <c r="P216" s="1137"/>
      <c r="Q216" s="1137"/>
      <c r="R216" s="1429"/>
      <c r="S216" s="1424"/>
    </row>
    <row r="217" spans="1:19" s="1138" customFormat="1" ht="15" x14ac:dyDescent="0.2">
      <c r="A217" s="1139"/>
      <c r="B217" s="1435"/>
      <c r="C217" s="1425"/>
      <c r="D217" s="1425"/>
      <c r="E217" s="1434">
        <f t="shared" si="5"/>
        <v>0</v>
      </c>
      <c r="F217" s="1329"/>
      <c r="G217" s="1424"/>
      <c r="H217" s="1427"/>
      <c r="I217" s="1435"/>
      <c r="J217" s="1428"/>
      <c r="K217" s="1137"/>
      <c r="L217" s="1137"/>
      <c r="M217" s="1139"/>
      <c r="N217" s="1137"/>
      <c r="O217" s="1137"/>
      <c r="P217" s="1137"/>
      <c r="Q217" s="1137"/>
      <c r="R217" s="1429"/>
      <c r="S217" s="1424"/>
    </row>
    <row r="218" spans="1:19" s="1138" customFormat="1" ht="15" x14ac:dyDescent="0.2">
      <c r="A218" s="1139"/>
      <c r="B218" s="1435"/>
      <c r="C218" s="1425"/>
      <c r="D218" s="1425"/>
      <c r="E218" s="1434">
        <f t="shared" si="5"/>
        <v>0</v>
      </c>
      <c r="F218" s="1329"/>
      <c r="G218" s="1424"/>
      <c r="H218" s="1427"/>
      <c r="I218" s="1435"/>
      <c r="J218" s="1428"/>
      <c r="K218" s="1137"/>
      <c r="L218" s="1137"/>
      <c r="M218" s="1139"/>
      <c r="N218" s="1137"/>
      <c r="O218" s="1137"/>
      <c r="P218" s="1137"/>
      <c r="Q218" s="1137"/>
      <c r="R218" s="1429"/>
      <c r="S218" s="1424"/>
    </row>
    <row r="219" spans="1:19" s="1138" customFormat="1" ht="15" x14ac:dyDescent="0.2">
      <c r="A219" s="1139"/>
      <c r="B219" s="1435"/>
      <c r="C219" s="1425"/>
      <c r="D219" s="1425"/>
      <c r="E219" s="1434">
        <f t="shared" si="5"/>
        <v>0</v>
      </c>
      <c r="F219" s="1329"/>
      <c r="G219" s="1424"/>
      <c r="H219" s="1427"/>
      <c r="I219" s="1435"/>
      <c r="J219" s="1428"/>
      <c r="K219" s="1137"/>
      <c r="L219" s="1137"/>
      <c r="M219" s="1139"/>
      <c r="N219" s="1137"/>
      <c r="O219" s="1137"/>
      <c r="P219" s="1137"/>
      <c r="Q219" s="1137"/>
      <c r="R219" s="1429"/>
      <c r="S219" s="1424"/>
    </row>
    <row r="220" spans="1:19" s="51" customFormat="1" x14ac:dyDescent="0.2">
      <c r="D220" s="1335"/>
      <c r="E220" s="1336"/>
      <c r="H220" s="1330"/>
      <c r="J220" s="1126"/>
      <c r="K220" s="1126"/>
      <c r="N220" s="1126"/>
      <c r="O220" s="1126"/>
      <c r="Q220" s="1126"/>
      <c r="R220" s="1126"/>
    </row>
    <row r="221" spans="1:19" s="51" customFormat="1" x14ac:dyDescent="0.2">
      <c r="H221" s="1330"/>
      <c r="J221" s="1126"/>
      <c r="K221" s="1126"/>
      <c r="N221" s="1126"/>
      <c r="O221" s="1126"/>
      <c r="Q221" s="1126"/>
      <c r="R221" s="1126"/>
    </row>
    <row r="222" spans="1:19" s="51" customFormat="1" x14ac:dyDescent="0.2">
      <c r="B222" s="1901" t="s">
        <v>666</v>
      </c>
      <c r="C222" s="1903"/>
      <c r="D222" s="1904"/>
      <c r="E222" s="1904"/>
      <c r="F222" s="1905"/>
      <c r="G222" s="1126"/>
      <c r="H222" s="1330"/>
      <c r="J222" s="1126"/>
      <c r="K222" s="1126"/>
      <c r="N222" s="1126"/>
      <c r="O222" s="1126"/>
      <c r="Q222" s="1126"/>
      <c r="R222" s="1126"/>
    </row>
    <row r="223" spans="1:19" s="51" customFormat="1" x14ac:dyDescent="0.2">
      <c r="B223" s="1902"/>
      <c r="C223" s="1906"/>
      <c r="D223" s="1907"/>
      <c r="E223" s="1907"/>
      <c r="F223" s="1908"/>
      <c r="G223" s="1126"/>
      <c r="H223" s="1330"/>
      <c r="J223" s="1126"/>
      <c r="K223" s="1126"/>
      <c r="N223" s="1126"/>
      <c r="O223" s="1126"/>
      <c r="Q223" s="1126"/>
      <c r="R223" s="1126"/>
    </row>
    <row r="224" spans="1:19" s="51" customFormat="1" ht="15" thickBot="1" x14ac:dyDescent="0.25">
      <c r="H224" s="1330"/>
      <c r="J224" s="1126"/>
      <c r="K224" s="1126"/>
      <c r="N224" s="1126"/>
      <c r="O224" s="1126"/>
      <c r="Q224" s="1126"/>
      <c r="R224" s="1126"/>
    </row>
    <row r="225" spans="2:19" s="51" customFormat="1" ht="15" thickBot="1" x14ac:dyDescent="0.25">
      <c r="B225" s="1895" t="s">
        <v>667</v>
      </c>
      <c r="C225" s="1898"/>
      <c r="D225" s="1899"/>
      <c r="E225" s="1899"/>
      <c r="F225" s="1900"/>
      <c r="G225" s="1127"/>
      <c r="H225" s="1333"/>
      <c r="I225" s="1127"/>
      <c r="J225" s="1339"/>
      <c r="K225" s="1339"/>
      <c r="L225" s="1127"/>
      <c r="M225" s="1127"/>
      <c r="N225" s="1339"/>
      <c r="O225" s="1339"/>
      <c r="P225" s="1127"/>
      <c r="Q225" s="1339"/>
      <c r="R225" s="1339"/>
      <c r="S225" s="1127"/>
    </row>
    <row r="226" spans="2:19" s="51" customFormat="1" ht="15" thickBot="1" x14ac:dyDescent="0.25">
      <c r="B226" s="1896"/>
      <c r="C226" s="1898"/>
      <c r="D226" s="1899"/>
      <c r="E226" s="1899"/>
      <c r="F226" s="1900"/>
      <c r="G226" s="307"/>
      <c r="H226" s="1334"/>
      <c r="I226" s="307"/>
      <c r="J226" s="1340"/>
      <c r="K226" s="1340"/>
      <c r="L226" s="307"/>
      <c r="M226" s="307"/>
      <c r="N226" s="1340"/>
      <c r="O226" s="1340"/>
      <c r="P226" s="307"/>
      <c r="Q226" s="1340"/>
      <c r="R226" s="1340"/>
      <c r="S226" s="307"/>
    </row>
    <row r="227" spans="2:19" s="51" customFormat="1" ht="15" thickBot="1" x14ac:dyDescent="0.25">
      <c r="B227" s="1897"/>
      <c r="C227" s="1898"/>
      <c r="D227" s="1899"/>
      <c r="E227" s="1899"/>
      <c r="F227" s="1900"/>
      <c r="G227" s="307"/>
      <c r="H227" s="1334"/>
      <c r="I227" s="307"/>
      <c r="J227" s="1340"/>
      <c r="K227" s="1340"/>
      <c r="L227" s="307"/>
      <c r="M227" s="307"/>
      <c r="N227" s="1340"/>
      <c r="O227" s="1340"/>
      <c r="P227" s="307"/>
      <c r="Q227" s="1340"/>
      <c r="R227" s="1340"/>
      <c r="S227" s="307"/>
    </row>
    <row r="228" spans="2:19" s="51" customFormat="1" ht="15" thickBot="1" x14ac:dyDescent="0.25">
      <c r="B228" s="1128" t="s">
        <v>668</v>
      </c>
      <c r="C228" s="1898"/>
      <c r="D228" s="1899"/>
      <c r="E228" s="1899"/>
      <c r="F228" s="1900"/>
      <c r="G228" s="307"/>
      <c r="H228" s="1334"/>
      <c r="I228" s="307"/>
      <c r="J228" s="1340"/>
      <c r="K228" s="1340"/>
      <c r="L228" s="307"/>
      <c r="M228" s="307"/>
      <c r="N228" s="1340"/>
      <c r="O228" s="1340"/>
      <c r="P228" s="307"/>
      <c r="Q228" s="1340"/>
      <c r="R228" s="1340"/>
      <c r="S228" s="307"/>
    </row>
    <row r="229" spans="2:19" s="51" customFormat="1" x14ac:dyDescent="0.2">
      <c r="H229" s="1330"/>
      <c r="J229" s="1126"/>
      <c r="K229" s="1126"/>
      <c r="N229" s="1126"/>
      <c r="O229" s="1126"/>
      <c r="Q229" s="1126"/>
      <c r="R229" s="1126"/>
    </row>
    <row r="230" spans="2:19" s="51" customFormat="1" ht="15" x14ac:dyDescent="0.25">
      <c r="B230" s="51" t="s">
        <v>669</v>
      </c>
      <c r="H230" s="1330"/>
      <c r="J230" s="1126"/>
      <c r="K230" s="1126"/>
      <c r="N230" s="1126"/>
      <c r="O230" s="1126"/>
      <c r="Q230" s="1126"/>
      <c r="R230" s="1126"/>
    </row>
    <row r="231" spans="2:19" s="51" customFormat="1" ht="15" x14ac:dyDescent="0.25">
      <c r="B231" s="51" t="s">
        <v>670</v>
      </c>
      <c r="H231" s="1330"/>
      <c r="J231" s="1126"/>
      <c r="K231" s="1126"/>
      <c r="N231" s="1126"/>
      <c r="O231" s="1126"/>
      <c r="Q231" s="1126"/>
      <c r="R231" s="1126"/>
    </row>
    <row r="232" spans="2:19" s="51" customFormat="1" ht="15" x14ac:dyDescent="0.25">
      <c r="B232" s="51" t="s">
        <v>1674</v>
      </c>
      <c r="H232" s="1330"/>
      <c r="J232" s="1126"/>
      <c r="K232" s="1126"/>
      <c r="N232" s="1126"/>
      <c r="O232" s="1126"/>
      <c r="Q232" s="1126"/>
      <c r="R232" s="1126"/>
    </row>
  </sheetData>
  <sheetProtection formatRows="0" insertRows="0" pivotTables="0"/>
  <mergeCells count="22">
    <mergeCell ref="J10:Q10"/>
    <mergeCell ref="B114:B115"/>
    <mergeCell ref="C114:F115"/>
    <mergeCell ref="B117:B119"/>
    <mergeCell ref="C117:F119"/>
    <mergeCell ref="B1:B2"/>
    <mergeCell ref="C4:D4"/>
    <mergeCell ref="C5:H5"/>
    <mergeCell ref="C6:D6"/>
    <mergeCell ref="C7:D7"/>
    <mergeCell ref="C1:R2"/>
    <mergeCell ref="A128:H128"/>
    <mergeCell ref="C120:F120"/>
    <mergeCell ref="C130:H130"/>
    <mergeCell ref="C131:D131"/>
    <mergeCell ref="C132:D132"/>
    <mergeCell ref="J135:Q135"/>
    <mergeCell ref="B225:B227"/>
    <mergeCell ref="C225:F227"/>
    <mergeCell ref="C228:F228"/>
    <mergeCell ref="B222:B223"/>
    <mergeCell ref="C222:F223"/>
  </mergeCells>
  <conditionalFormatting sqref="C1">
    <cfRule type="cellIs" dxfId="242" priority="13" operator="equal">
      <formula>"ERROR"</formula>
    </cfRule>
  </conditionalFormatting>
  <conditionalFormatting sqref="G117:S120">
    <cfRule type="cellIs" dxfId="241" priority="20" operator="equal">
      <formula>"INEXISTENTE"</formula>
    </cfRule>
    <cfRule type="cellIs" dxfId="240" priority="29" operator="equal">
      <formula>"INADECUADO"</formula>
    </cfRule>
    <cfRule type="cellIs" dxfId="239" priority="30" operator="equal">
      <formula>"PARCIALMENTE ADECUADO"</formula>
    </cfRule>
    <cfRule type="cellIs" dxfId="238" priority="31" operator="equal">
      <formula>"ADECUADO"</formula>
    </cfRule>
    <cfRule type="cellIs" dxfId="237" priority="32" operator="equal">
      <formula>"ERROR"</formula>
    </cfRule>
  </conditionalFormatting>
  <conditionalFormatting sqref="G225:S228">
    <cfRule type="cellIs" dxfId="236" priority="1" operator="equal">
      <formula>"INEXISTENTE"</formula>
    </cfRule>
    <cfRule type="cellIs" dxfId="235" priority="9" operator="equal">
      <formula>"INADECUADO"</formula>
    </cfRule>
    <cfRule type="cellIs" dxfId="234" priority="10" operator="equal">
      <formula>"PARCIALMENTE ADECUADO"</formula>
    </cfRule>
    <cfRule type="cellIs" dxfId="233" priority="11" operator="equal">
      <formula>"ADECUADO"</formula>
    </cfRule>
    <cfRule type="cellIs" dxfId="232" priority="12" operator="equal">
      <formula>"ERROR"</formula>
    </cfRule>
  </conditionalFormatting>
  <conditionalFormatting sqref="K117:S120">
    <cfRule type="cellIs" dxfId="231" priority="21" operator="equal">
      <formula>"INEFICAZ"</formula>
    </cfRule>
    <cfRule type="cellIs" dxfId="230" priority="22" operator="equal">
      <formula>"CON DEFICIENCIAS"</formula>
    </cfRule>
    <cfRule type="cellIs" dxfId="229" priority="23" operator="equal">
      <formula>"EFICAZ"</formula>
    </cfRule>
    <cfRule type="cellIs" dxfId="228" priority="24" operator="equal">
      <formula>"CRÍTICO"</formula>
    </cfRule>
    <cfRule type="cellIs" dxfId="227" priority="25" operator="equal">
      <formula>"ALTO"</formula>
    </cfRule>
    <cfRule type="cellIs" dxfId="226" priority="26" operator="equal">
      <formula>"MEDIO"</formula>
    </cfRule>
    <cfRule type="cellIs" dxfId="225" priority="27" operator="equal">
      <formula>"BAJO"</formula>
    </cfRule>
  </conditionalFormatting>
  <conditionalFormatting sqref="K225:S228">
    <cfRule type="cellIs" dxfId="224" priority="2" operator="equal">
      <formula>"INEFICAZ"</formula>
    </cfRule>
    <cfRule type="cellIs" dxfId="223" priority="3" operator="equal">
      <formula>"CON DEFICIENCIAS"</formula>
    </cfRule>
    <cfRule type="cellIs" dxfId="222" priority="4" operator="equal">
      <formula>"EFICAZ"</formula>
    </cfRule>
    <cfRule type="cellIs" dxfId="221" priority="5" operator="equal">
      <formula>"CRÍTICO"</formula>
    </cfRule>
    <cfRule type="cellIs" dxfId="220" priority="6" operator="equal">
      <formula>"ALTO"</formula>
    </cfRule>
    <cfRule type="cellIs" dxfId="219" priority="7" operator="equal">
      <formula>"MEDIO"</formula>
    </cfRule>
    <cfRule type="cellIs" dxfId="218" priority="8" operator="equal">
      <formula>"BAJO"</formula>
    </cfRule>
  </conditionalFormatting>
  <conditionalFormatting sqref="S2">
    <cfRule type="cellIs" dxfId="217" priority="14" operator="equal">
      <formula>"INEXISTENTE"</formula>
    </cfRule>
    <cfRule type="cellIs" dxfId="216" priority="15" operator="equal">
      <formula>"INADECUADO"</formula>
    </cfRule>
    <cfRule type="cellIs" dxfId="215" priority="16" operator="equal">
      <formula>"PARCIALMENTE ADECUADO"</formula>
    </cfRule>
    <cfRule type="cellIs" dxfId="214" priority="17" operator="equal">
      <formula>"ADECUADO"</formula>
    </cfRule>
    <cfRule type="cellIs" dxfId="213" priority="18" operator="equal">
      <formula>"ERROR"</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LISTAS!$P$22:$P$23</xm:f>
          </x14:formula1>
          <xm:sqref>R12:R112 Q12 R137:R219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FF00"/>
  </sheetPr>
  <dimension ref="A1:S172"/>
  <sheetViews>
    <sheetView topLeftCell="J1" workbookViewId="0">
      <selection activeCell="S1" sqref="S1"/>
    </sheetView>
  </sheetViews>
  <sheetFormatPr baseColWidth="10" defaultColWidth="11.42578125" defaultRowHeight="14.25" x14ac:dyDescent="0.2"/>
  <cols>
    <col min="1" max="1" width="11.42578125" style="11"/>
    <col min="2" max="2" width="33.140625" style="11" customWidth="1"/>
    <col min="3" max="3" width="26" style="308" customWidth="1"/>
    <col min="4" max="4" width="23.140625" style="308" customWidth="1"/>
    <col min="5" max="5" width="24" style="11" customWidth="1"/>
    <col min="6" max="6" width="12.42578125" style="11" customWidth="1"/>
    <col min="7" max="7" width="17.28515625" style="11" customWidth="1"/>
    <col min="8" max="8" width="21.42578125" style="11" customWidth="1"/>
    <col min="9" max="9" width="24.7109375" style="11" bestFit="1" customWidth="1"/>
    <col min="10" max="10" width="24.7109375" style="11" customWidth="1"/>
    <col min="11" max="11" width="21.28515625" style="11" customWidth="1"/>
    <col min="12" max="14" width="27.42578125" style="11" customWidth="1"/>
    <col min="15" max="15" width="35.7109375" style="11" customWidth="1"/>
    <col min="16" max="18" width="16.28515625" style="11" customWidth="1"/>
    <col min="19" max="19" width="44.42578125" style="11" customWidth="1"/>
    <col min="20" max="20" width="16.140625" style="11" customWidth="1"/>
    <col min="21" max="16384" width="11.42578125" style="11"/>
  </cols>
  <sheetData>
    <row r="1" spans="1:19" ht="51.75" customHeight="1" x14ac:dyDescent="0.2">
      <c r="B1" s="1929"/>
      <c r="C1" s="1916" t="s">
        <v>1601</v>
      </c>
      <c r="D1" s="1917"/>
      <c r="E1" s="1917"/>
      <c r="F1" s="1917"/>
      <c r="G1" s="1917"/>
      <c r="H1" s="1917"/>
      <c r="I1" s="1917"/>
      <c r="J1" s="1917"/>
      <c r="K1" s="1917"/>
      <c r="L1" s="1917"/>
      <c r="M1" s="1917"/>
      <c r="N1" s="1917"/>
      <c r="O1" s="1917"/>
      <c r="P1" s="1917"/>
      <c r="Q1" s="1917"/>
      <c r="R1" s="1918"/>
      <c r="S1" s="978" t="s">
        <v>1600</v>
      </c>
    </row>
    <row r="2" spans="1:19" ht="40.5" customHeight="1" x14ac:dyDescent="0.2">
      <c r="B2" s="1930"/>
      <c r="C2" s="1919"/>
      <c r="D2" s="1920"/>
      <c r="E2" s="1920"/>
      <c r="F2" s="1920"/>
      <c r="G2" s="1920"/>
      <c r="H2" s="1920"/>
      <c r="I2" s="1920"/>
      <c r="J2" s="1920"/>
      <c r="K2" s="1920"/>
      <c r="L2" s="1920"/>
      <c r="M2" s="1920"/>
      <c r="N2" s="1920"/>
      <c r="O2" s="1920"/>
      <c r="P2" s="1920"/>
      <c r="Q2" s="1920"/>
      <c r="R2" s="1921"/>
      <c r="S2" s="976" t="s">
        <v>1731</v>
      </c>
    </row>
    <row r="4" spans="1:19" ht="18" x14ac:dyDescent="0.25">
      <c r="B4" s="300"/>
      <c r="C4" s="1931"/>
      <c r="D4" s="1931"/>
      <c r="E4" s="301"/>
      <c r="F4" s="9"/>
      <c r="G4" s="9"/>
      <c r="H4" s="51"/>
    </row>
    <row r="5" spans="1:19" ht="18" x14ac:dyDescent="0.2">
      <c r="C5" s="1910" t="s">
        <v>672</v>
      </c>
      <c r="D5" s="1910"/>
      <c r="E5" s="1910"/>
      <c r="F5" s="1910"/>
      <c r="G5" s="1910"/>
      <c r="H5" s="1910"/>
    </row>
    <row r="6" spans="1:19" x14ac:dyDescent="0.2">
      <c r="B6" s="11" t="s">
        <v>0</v>
      </c>
      <c r="C6" s="1927" t="str">
        <f>+FENECIMIENTO!D4</f>
        <v xml:space="preserve">80000 - DIRECCIÓN SECTOR MOVILIDAD </v>
      </c>
      <c r="D6" s="1927"/>
    </row>
    <row r="7" spans="1:19" ht="30" customHeight="1" x14ac:dyDescent="0.2">
      <c r="B7" s="11" t="s">
        <v>1</v>
      </c>
      <c r="C7" s="1915" t="str">
        <f>+FENECIMIENTO!D5</f>
        <v xml:space="preserve">262 - Empresa de Transporte del Tercer Milenio - Transmilenio S.A. </v>
      </c>
      <c r="D7" s="1915"/>
      <c r="F7" s="302" t="s">
        <v>2</v>
      </c>
      <c r="G7" s="303"/>
      <c r="H7" s="1118">
        <f>+FENECIMIENTO!K5</f>
        <v>2024</v>
      </c>
      <c r="P7" s="304"/>
      <c r="Q7" s="304"/>
      <c r="R7" s="304"/>
      <c r="S7" s="304"/>
    </row>
    <row r="8" spans="1:19" x14ac:dyDescent="0.2">
      <c r="B8" s="11" t="s">
        <v>1589</v>
      </c>
      <c r="C8" s="1122">
        <f>+FENECIMIENTO!D6</f>
        <v>2025</v>
      </c>
      <c r="D8" s="1123"/>
      <c r="F8" s="302" t="s">
        <v>3</v>
      </c>
      <c r="G8" s="303"/>
      <c r="H8" s="1118">
        <f>+FENECIMIENTO!K6</f>
        <v>87</v>
      </c>
    </row>
    <row r="9" spans="1:19" x14ac:dyDescent="0.2">
      <c r="B9" s="11" t="s">
        <v>4</v>
      </c>
      <c r="C9" s="1120">
        <f>+FENECIMIENTO!D7</f>
        <v>45693</v>
      </c>
      <c r="D9" s="1124"/>
      <c r="F9" s="302" t="s">
        <v>5</v>
      </c>
      <c r="G9" s="303"/>
      <c r="H9" s="1121">
        <f>+FENECIMIENTO!K7</f>
        <v>45693</v>
      </c>
      <c r="J9" s="1341" t="s">
        <v>1675</v>
      </c>
      <c r="K9" s="1342" t="s">
        <v>1676</v>
      </c>
    </row>
    <row r="10" spans="1:19" ht="15.75" x14ac:dyDescent="0.25">
      <c r="B10" s="49"/>
      <c r="E10" s="49"/>
      <c r="F10" s="49"/>
      <c r="G10" s="49"/>
      <c r="I10" s="11" t="s">
        <v>648</v>
      </c>
      <c r="J10" s="1925" t="s">
        <v>649</v>
      </c>
      <c r="K10" s="1926"/>
      <c r="L10" s="1926"/>
      <c r="M10" s="1926"/>
      <c r="N10" s="1926"/>
      <c r="O10" s="1926"/>
      <c r="P10" s="1926"/>
      <c r="Q10" s="1926"/>
      <c r="R10" s="1926"/>
    </row>
    <row r="11" spans="1:19" s="51" customFormat="1" ht="120" x14ac:dyDescent="0.2">
      <c r="A11" s="1125" t="s">
        <v>650</v>
      </c>
      <c r="B11" s="1125" t="s">
        <v>651</v>
      </c>
      <c r="C11" s="1129" t="s">
        <v>1722</v>
      </c>
      <c r="D11" s="1129" t="s">
        <v>1723</v>
      </c>
      <c r="E11" s="1125" t="s">
        <v>652</v>
      </c>
      <c r="F11" s="1125" t="s">
        <v>653</v>
      </c>
      <c r="G11" s="1125" t="s">
        <v>673</v>
      </c>
      <c r="H11" s="1125" t="s">
        <v>1673</v>
      </c>
      <c r="I11" s="1125" t="s">
        <v>656</v>
      </c>
      <c r="J11" s="1125" t="s">
        <v>657</v>
      </c>
      <c r="K11" s="1125" t="s">
        <v>658</v>
      </c>
      <c r="L11" s="1125" t="s">
        <v>659</v>
      </c>
      <c r="M11" s="1125" t="s">
        <v>660</v>
      </c>
      <c r="N11" s="1125" t="s">
        <v>663</v>
      </c>
      <c r="O11" s="1125" t="s">
        <v>662</v>
      </c>
      <c r="P11" s="1125" t="s">
        <v>674</v>
      </c>
      <c r="Q11" s="1125" t="s">
        <v>661</v>
      </c>
      <c r="R11" s="1125" t="s">
        <v>664</v>
      </c>
      <c r="S11" s="1125" t="s">
        <v>665</v>
      </c>
    </row>
    <row r="12" spans="1:19" s="1440" customFormat="1" ht="15" x14ac:dyDescent="0.2">
      <c r="A12" s="1447"/>
      <c r="B12" s="1435"/>
      <c r="C12" s="1131">
        <v>5</v>
      </c>
      <c r="D12" s="1131">
        <v>5.0999999999999996</v>
      </c>
      <c r="E12" s="1131">
        <f>+C12-D12</f>
        <v>-9.9999999999999645E-2</v>
      </c>
      <c r="F12" s="1509">
        <f>IF(C12="","",+(C12-D12)/D12)</f>
        <v>-1.9607843137254832E-2</v>
      </c>
      <c r="G12" s="1134"/>
      <c r="H12" s="1436"/>
      <c r="I12" s="1134"/>
      <c r="J12" s="1134"/>
      <c r="K12" s="1437"/>
      <c r="L12" s="1438"/>
      <c r="M12" s="1423"/>
      <c r="N12" s="1439"/>
      <c r="O12" s="1419"/>
      <c r="P12" s="1439"/>
      <c r="Q12" s="1439"/>
      <c r="R12" s="1439"/>
      <c r="S12" s="1343"/>
    </row>
    <row r="13" spans="1:19" s="1440" customFormat="1" ht="15" x14ac:dyDescent="0.2">
      <c r="A13" s="1447"/>
      <c r="B13" s="1435"/>
      <c r="C13" s="1131"/>
      <c r="D13" s="1131"/>
      <c r="E13" s="1131">
        <f t="shared" ref="E13:E60" si="0">+C13-D13</f>
        <v>0</v>
      </c>
      <c r="F13" s="1509" t="str">
        <f t="shared" ref="F13:F60" si="1">IF(C13="","",+(C13-D13)/D13)</f>
        <v/>
      </c>
      <c r="G13" s="1134"/>
      <c r="H13" s="1436"/>
      <c r="I13" s="1134"/>
      <c r="J13" s="1134"/>
      <c r="K13" s="1437"/>
      <c r="L13" s="1438"/>
      <c r="M13" s="1423"/>
      <c r="N13" s="1439"/>
      <c r="O13" s="1419"/>
      <c r="P13" s="1439"/>
      <c r="Q13" s="1439"/>
      <c r="R13" s="1439"/>
      <c r="S13" s="1343"/>
    </row>
    <row r="14" spans="1:19" s="1440" customFormat="1" ht="15" x14ac:dyDescent="0.2">
      <c r="A14" s="1447"/>
      <c r="B14" s="1435"/>
      <c r="C14" s="1131"/>
      <c r="D14" s="1131"/>
      <c r="E14" s="1131">
        <f t="shared" si="0"/>
        <v>0</v>
      </c>
      <c r="F14" s="1509" t="str">
        <f t="shared" si="1"/>
        <v/>
      </c>
      <c r="G14" s="1134"/>
      <c r="H14" s="1436"/>
      <c r="I14" s="1134"/>
      <c r="J14" s="1134"/>
      <c r="K14" s="1437"/>
      <c r="L14" s="1438"/>
      <c r="M14" s="1423"/>
      <c r="N14" s="1439"/>
      <c r="O14" s="1419"/>
      <c r="P14" s="1439"/>
      <c r="Q14" s="1439"/>
      <c r="R14" s="1439"/>
      <c r="S14" s="1343"/>
    </row>
    <row r="15" spans="1:19" s="1440" customFormat="1" ht="15" x14ac:dyDescent="0.2">
      <c r="A15" s="1447"/>
      <c r="B15" s="1435"/>
      <c r="C15" s="1131"/>
      <c r="D15" s="1131"/>
      <c r="E15" s="1131">
        <f t="shared" si="0"/>
        <v>0</v>
      </c>
      <c r="F15" s="1509" t="str">
        <f t="shared" si="1"/>
        <v/>
      </c>
      <c r="G15" s="1134"/>
      <c r="H15" s="1436"/>
      <c r="I15" s="1134"/>
      <c r="J15" s="1134"/>
      <c r="K15" s="1437"/>
      <c r="L15" s="1438"/>
      <c r="M15" s="1423"/>
      <c r="N15" s="1439"/>
      <c r="O15" s="1419"/>
      <c r="P15" s="1439"/>
      <c r="Q15" s="1439"/>
      <c r="R15" s="1439"/>
      <c r="S15" s="1343"/>
    </row>
    <row r="16" spans="1:19" s="1440" customFormat="1" ht="15" x14ac:dyDescent="0.2">
      <c r="A16" s="1447"/>
      <c r="B16" s="1435"/>
      <c r="C16" s="1131"/>
      <c r="D16" s="1131"/>
      <c r="E16" s="1131">
        <f t="shared" si="0"/>
        <v>0</v>
      </c>
      <c r="F16" s="1509" t="str">
        <f t="shared" si="1"/>
        <v/>
      </c>
      <c r="G16" s="1134"/>
      <c r="H16" s="1436"/>
      <c r="I16" s="1134"/>
      <c r="J16" s="1134"/>
      <c r="K16" s="1437"/>
      <c r="L16" s="1438"/>
      <c r="M16" s="1423"/>
      <c r="N16" s="1439"/>
      <c r="O16" s="1419"/>
      <c r="P16" s="1439"/>
      <c r="Q16" s="1439"/>
      <c r="R16" s="1439"/>
      <c r="S16" s="1407"/>
    </row>
    <row r="17" spans="1:19" s="1440" customFormat="1" ht="15" x14ac:dyDescent="0.2">
      <c r="A17" s="1447"/>
      <c r="B17" s="1435"/>
      <c r="C17" s="1131"/>
      <c r="D17" s="1131"/>
      <c r="E17" s="1131">
        <f t="shared" si="0"/>
        <v>0</v>
      </c>
      <c r="F17" s="1509" t="str">
        <f t="shared" si="1"/>
        <v/>
      </c>
      <c r="G17" s="1134"/>
      <c r="H17" s="1436"/>
      <c r="I17" s="1134"/>
      <c r="J17" s="1134"/>
      <c r="K17" s="1437"/>
      <c r="L17" s="1438"/>
      <c r="M17" s="1423"/>
      <c r="N17" s="1439"/>
      <c r="O17" s="1419"/>
      <c r="P17" s="1439"/>
      <c r="Q17" s="1439"/>
      <c r="R17" s="1439"/>
      <c r="S17" s="1407"/>
    </row>
    <row r="18" spans="1:19" s="1440" customFormat="1" ht="15" x14ac:dyDescent="0.2">
      <c r="A18" s="1447"/>
      <c r="B18" s="1435"/>
      <c r="C18" s="1131"/>
      <c r="D18" s="1131"/>
      <c r="E18" s="1131">
        <f t="shared" si="0"/>
        <v>0</v>
      </c>
      <c r="F18" s="1509" t="str">
        <f t="shared" si="1"/>
        <v/>
      </c>
      <c r="G18" s="1134"/>
      <c r="H18" s="1436"/>
      <c r="I18" s="1134"/>
      <c r="J18" s="1134"/>
      <c r="K18" s="1437"/>
      <c r="L18" s="1438"/>
      <c r="M18" s="1423"/>
      <c r="N18" s="1439"/>
      <c r="O18" s="1419"/>
      <c r="P18" s="1439"/>
      <c r="Q18" s="1439"/>
      <c r="R18" s="1439"/>
      <c r="S18" s="1407"/>
    </row>
    <row r="19" spans="1:19" s="1440" customFormat="1" ht="15" x14ac:dyDescent="0.2">
      <c r="A19" s="1447"/>
      <c r="B19" s="1435"/>
      <c r="C19" s="1131"/>
      <c r="D19" s="1131"/>
      <c r="E19" s="1131">
        <f t="shared" si="0"/>
        <v>0</v>
      </c>
      <c r="F19" s="1509" t="str">
        <f t="shared" si="1"/>
        <v/>
      </c>
      <c r="G19" s="1134"/>
      <c r="H19" s="1436"/>
      <c r="I19" s="1134"/>
      <c r="J19" s="1134"/>
      <c r="K19" s="1437"/>
      <c r="L19" s="1438"/>
      <c r="M19" s="1423"/>
      <c r="N19" s="1439"/>
      <c r="O19" s="1419"/>
      <c r="P19" s="1439"/>
      <c r="Q19" s="1439"/>
      <c r="R19" s="1439"/>
      <c r="S19" s="1407"/>
    </row>
    <row r="20" spans="1:19" s="1440" customFormat="1" ht="15" x14ac:dyDescent="0.2">
      <c r="A20" s="1447"/>
      <c r="B20" s="1435"/>
      <c r="C20" s="1131"/>
      <c r="D20" s="1131"/>
      <c r="E20" s="1131">
        <f t="shared" si="0"/>
        <v>0</v>
      </c>
      <c r="F20" s="1509" t="str">
        <f t="shared" si="1"/>
        <v/>
      </c>
      <c r="G20" s="1134"/>
      <c r="H20" s="1436"/>
      <c r="I20" s="1134"/>
      <c r="J20" s="1134"/>
      <c r="K20" s="1437"/>
      <c r="L20" s="1438"/>
      <c r="M20" s="1423"/>
      <c r="N20" s="1439"/>
      <c r="O20" s="1419"/>
      <c r="P20" s="1439"/>
      <c r="Q20" s="1439"/>
      <c r="R20" s="1439"/>
      <c r="S20" s="1407"/>
    </row>
    <row r="21" spans="1:19" s="1440" customFormat="1" ht="15" x14ac:dyDescent="0.2">
      <c r="A21" s="1447"/>
      <c r="B21" s="1435"/>
      <c r="C21" s="1131"/>
      <c r="D21" s="1131"/>
      <c r="E21" s="1131">
        <f t="shared" si="0"/>
        <v>0</v>
      </c>
      <c r="F21" s="1509" t="str">
        <f t="shared" si="1"/>
        <v/>
      </c>
      <c r="G21" s="1134"/>
      <c r="H21" s="1436"/>
      <c r="I21" s="1134"/>
      <c r="J21" s="1134"/>
      <c r="K21" s="1437"/>
      <c r="L21" s="1438"/>
      <c r="M21" s="1423"/>
      <c r="N21" s="1439"/>
      <c r="O21" s="1419"/>
      <c r="P21" s="1439"/>
      <c r="Q21" s="1439"/>
      <c r="R21" s="1439"/>
      <c r="S21" s="1343"/>
    </row>
    <row r="22" spans="1:19" s="1440" customFormat="1" ht="15" x14ac:dyDescent="0.2">
      <c r="A22" s="1447"/>
      <c r="B22" s="1435"/>
      <c r="C22" s="1131"/>
      <c r="D22" s="1131"/>
      <c r="E22" s="1131">
        <f t="shared" si="0"/>
        <v>0</v>
      </c>
      <c r="F22" s="1509" t="str">
        <f t="shared" si="1"/>
        <v/>
      </c>
      <c r="G22" s="1134"/>
      <c r="H22" s="1436"/>
      <c r="I22" s="1134"/>
      <c r="J22" s="1134"/>
      <c r="K22" s="1437"/>
      <c r="L22" s="1438"/>
      <c r="M22" s="1423"/>
      <c r="N22" s="1439"/>
      <c r="O22" s="1419"/>
      <c r="P22" s="1439"/>
      <c r="Q22" s="1439"/>
      <c r="R22" s="1439"/>
      <c r="S22" s="1343"/>
    </row>
    <row r="23" spans="1:19" s="1440" customFormat="1" ht="15" x14ac:dyDescent="0.2">
      <c r="A23" s="1447"/>
      <c r="B23" s="1435"/>
      <c r="C23" s="1131"/>
      <c r="D23" s="1131"/>
      <c r="E23" s="1131">
        <f t="shared" si="0"/>
        <v>0</v>
      </c>
      <c r="F23" s="1509" t="str">
        <f t="shared" si="1"/>
        <v/>
      </c>
      <c r="G23" s="1134"/>
      <c r="H23" s="1436"/>
      <c r="I23" s="1134"/>
      <c r="J23" s="1134"/>
      <c r="K23" s="1437"/>
      <c r="L23" s="1438"/>
      <c r="M23" s="1423"/>
      <c r="N23" s="1439"/>
      <c r="O23" s="1419"/>
      <c r="P23" s="1439"/>
      <c r="Q23" s="1439"/>
      <c r="R23" s="1439"/>
      <c r="S23" s="1343"/>
    </row>
    <row r="24" spans="1:19" s="1440" customFormat="1" ht="15" x14ac:dyDescent="0.2">
      <c r="A24" s="1447"/>
      <c r="B24" s="1435"/>
      <c r="C24" s="1131"/>
      <c r="D24" s="1131"/>
      <c r="E24" s="1131">
        <f t="shared" si="0"/>
        <v>0</v>
      </c>
      <c r="F24" s="1509" t="str">
        <f t="shared" si="1"/>
        <v/>
      </c>
      <c r="G24" s="1134"/>
      <c r="H24" s="1436"/>
      <c r="I24" s="1134"/>
      <c r="J24" s="1134"/>
      <c r="K24" s="1437"/>
      <c r="L24" s="1438"/>
      <c r="M24" s="1423"/>
      <c r="N24" s="1439"/>
      <c r="O24" s="1419"/>
      <c r="P24" s="1439"/>
      <c r="Q24" s="1439"/>
      <c r="R24" s="1439"/>
      <c r="S24" s="1343"/>
    </row>
    <row r="25" spans="1:19" s="1440" customFormat="1" ht="15" x14ac:dyDescent="0.2">
      <c r="A25" s="1447"/>
      <c r="B25" s="1435"/>
      <c r="C25" s="1131"/>
      <c r="D25" s="1131"/>
      <c r="E25" s="1131">
        <f t="shared" si="0"/>
        <v>0</v>
      </c>
      <c r="F25" s="1509" t="str">
        <f t="shared" si="1"/>
        <v/>
      </c>
      <c r="G25" s="1134"/>
      <c r="H25" s="1436"/>
      <c r="I25" s="1134"/>
      <c r="J25" s="1134"/>
      <c r="K25" s="1437"/>
      <c r="L25" s="1438"/>
      <c r="M25" s="1423"/>
      <c r="N25" s="1439"/>
      <c r="O25" s="1419"/>
      <c r="P25" s="1439"/>
      <c r="Q25" s="1439"/>
      <c r="R25" s="1439"/>
      <c r="S25" s="1343"/>
    </row>
    <row r="26" spans="1:19" s="1440" customFormat="1" ht="15" x14ac:dyDescent="0.2">
      <c r="A26" s="1447"/>
      <c r="B26" s="1435"/>
      <c r="C26" s="1131"/>
      <c r="D26" s="1131"/>
      <c r="E26" s="1131">
        <f t="shared" si="0"/>
        <v>0</v>
      </c>
      <c r="F26" s="1509" t="str">
        <f t="shared" si="1"/>
        <v/>
      </c>
      <c r="G26" s="1134"/>
      <c r="H26" s="1436"/>
      <c r="I26" s="1134"/>
      <c r="J26" s="1134"/>
      <c r="K26" s="1437"/>
      <c r="L26" s="1438"/>
      <c r="M26" s="1423"/>
      <c r="N26" s="1439"/>
      <c r="O26" s="1419"/>
      <c r="P26" s="1439"/>
      <c r="Q26" s="1439"/>
      <c r="R26" s="1439"/>
      <c r="S26" s="1343"/>
    </row>
    <row r="27" spans="1:19" s="1440" customFormat="1" ht="15" x14ac:dyDescent="0.2">
      <c r="A27" s="1447"/>
      <c r="B27" s="1435"/>
      <c r="C27" s="1131"/>
      <c r="D27" s="1131"/>
      <c r="E27" s="1131">
        <f t="shared" si="0"/>
        <v>0</v>
      </c>
      <c r="F27" s="1509" t="str">
        <f t="shared" si="1"/>
        <v/>
      </c>
      <c r="G27" s="1134"/>
      <c r="H27" s="1436"/>
      <c r="I27" s="1134"/>
      <c r="J27" s="1134"/>
      <c r="K27" s="1437"/>
      <c r="L27" s="1438"/>
      <c r="M27" s="1423"/>
      <c r="N27" s="1439"/>
      <c r="O27" s="1419"/>
      <c r="P27" s="1439"/>
      <c r="Q27" s="1439"/>
      <c r="R27" s="1439"/>
      <c r="S27" s="1343"/>
    </row>
    <row r="28" spans="1:19" s="1440" customFormat="1" ht="15" x14ac:dyDescent="0.2">
      <c r="A28" s="1447"/>
      <c r="B28" s="1435"/>
      <c r="C28" s="1131"/>
      <c r="D28" s="1131"/>
      <c r="E28" s="1131">
        <f t="shared" si="0"/>
        <v>0</v>
      </c>
      <c r="F28" s="1509" t="str">
        <f t="shared" si="1"/>
        <v/>
      </c>
      <c r="G28" s="1134"/>
      <c r="H28" s="1436"/>
      <c r="I28" s="1134"/>
      <c r="J28" s="1134"/>
      <c r="K28" s="1437"/>
      <c r="L28" s="1438"/>
      <c r="M28" s="1423"/>
      <c r="N28" s="1439"/>
      <c r="O28" s="1419"/>
      <c r="P28" s="1439"/>
      <c r="Q28" s="1439"/>
      <c r="R28" s="1439"/>
      <c r="S28" s="1343"/>
    </row>
    <row r="29" spans="1:19" s="1440" customFormat="1" ht="15" x14ac:dyDescent="0.2">
      <c r="A29" s="1447"/>
      <c r="B29" s="1435"/>
      <c r="C29" s="1131"/>
      <c r="D29" s="1131"/>
      <c r="E29" s="1131">
        <f t="shared" si="0"/>
        <v>0</v>
      </c>
      <c r="F29" s="1509" t="str">
        <f t="shared" si="1"/>
        <v/>
      </c>
      <c r="G29" s="1134"/>
      <c r="H29" s="1436"/>
      <c r="I29" s="1134"/>
      <c r="J29" s="1134"/>
      <c r="K29" s="1437"/>
      <c r="L29" s="1438"/>
      <c r="M29" s="1423"/>
      <c r="N29" s="1439"/>
      <c r="O29" s="1419"/>
      <c r="P29" s="1439"/>
      <c r="Q29" s="1439"/>
      <c r="R29" s="1439"/>
      <c r="S29" s="1343"/>
    </row>
    <row r="30" spans="1:19" s="1440" customFormat="1" ht="15" x14ac:dyDescent="0.2">
      <c r="A30" s="1447"/>
      <c r="B30" s="1435"/>
      <c r="C30" s="1131"/>
      <c r="D30" s="1131"/>
      <c r="E30" s="1131">
        <f t="shared" si="0"/>
        <v>0</v>
      </c>
      <c r="F30" s="1509" t="str">
        <f t="shared" si="1"/>
        <v/>
      </c>
      <c r="G30" s="1134"/>
      <c r="H30" s="1436"/>
      <c r="I30" s="1134"/>
      <c r="J30" s="1134"/>
      <c r="K30" s="1437"/>
      <c r="L30" s="1438"/>
      <c r="M30" s="1423"/>
      <c r="N30" s="1439"/>
      <c r="O30" s="1419"/>
      <c r="P30" s="1439"/>
      <c r="Q30" s="1439"/>
      <c r="R30" s="1439"/>
      <c r="S30" s="1343"/>
    </row>
    <row r="31" spans="1:19" s="1440" customFormat="1" ht="15" x14ac:dyDescent="0.2">
      <c r="A31" s="1447"/>
      <c r="B31" s="1435"/>
      <c r="C31" s="1131"/>
      <c r="D31" s="1131"/>
      <c r="E31" s="1131">
        <f t="shared" si="0"/>
        <v>0</v>
      </c>
      <c r="F31" s="1509" t="str">
        <f t="shared" si="1"/>
        <v/>
      </c>
      <c r="G31" s="1134"/>
      <c r="H31" s="1436"/>
      <c r="I31" s="1134"/>
      <c r="J31" s="1134"/>
      <c r="K31" s="1437"/>
      <c r="L31" s="1438"/>
      <c r="M31" s="1423"/>
      <c r="N31" s="1439"/>
      <c r="O31" s="1419"/>
      <c r="P31" s="1439"/>
      <c r="Q31" s="1439"/>
      <c r="R31" s="1439"/>
      <c r="S31" s="1343"/>
    </row>
    <row r="32" spans="1:19" s="1440" customFormat="1" ht="15" x14ac:dyDescent="0.2">
      <c r="A32" s="1447"/>
      <c r="B32" s="1435"/>
      <c r="C32" s="1131"/>
      <c r="D32" s="1131"/>
      <c r="E32" s="1131">
        <f t="shared" si="0"/>
        <v>0</v>
      </c>
      <c r="F32" s="1509"/>
      <c r="G32" s="1134"/>
      <c r="H32" s="1436"/>
      <c r="I32" s="1134"/>
      <c r="J32" s="1134"/>
      <c r="K32" s="1437"/>
      <c r="L32" s="1438"/>
      <c r="M32" s="1423"/>
      <c r="N32" s="1439"/>
      <c r="O32" s="1419"/>
      <c r="P32" s="1439"/>
      <c r="Q32" s="1439"/>
      <c r="R32" s="1439"/>
      <c r="S32" s="1343"/>
    </row>
    <row r="33" spans="1:19" s="1440" customFormat="1" ht="15" x14ac:dyDescent="0.2">
      <c r="A33" s="1447"/>
      <c r="B33" s="1435"/>
      <c r="C33" s="1131"/>
      <c r="D33" s="1131"/>
      <c r="E33" s="1131">
        <f t="shared" si="0"/>
        <v>0</v>
      </c>
      <c r="F33" s="1509"/>
      <c r="G33" s="1134"/>
      <c r="H33" s="1436"/>
      <c r="I33" s="1134"/>
      <c r="J33" s="1134"/>
      <c r="K33" s="1437"/>
      <c r="L33" s="1438"/>
      <c r="M33" s="1423"/>
      <c r="N33" s="1439"/>
      <c r="O33" s="1419"/>
      <c r="P33" s="1439"/>
      <c r="Q33" s="1439"/>
      <c r="R33" s="1439"/>
      <c r="S33" s="1343"/>
    </row>
    <row r="34" spans="1:19" s="1440" customFormat="1" ht="15" x14ac:dyDescent="0.2">
      <c r="A34" s="1447"/>
      <c r="B34" s="1435"/>
      <c r="C34" s="1131"/>
      <c r="D34" s="1131"/>
      <c r="E34" s="1131">
        <f t="shared" si="0"/>
        <v>0</v>
      </c>
      <c r="F34" s="1509"/>
      <c r="G34" s="1134"/>
      <c r="H34" s="1436"/>
      <c r="I34" s="1134"/>
      <c r="J34" s="1134"/>
      <c r="K34" s="1437"/>
      <c r="L34" s="1438"/>
      <c r="M34" s="1423"/>
      <c r="N34" s="1439"/>
      <c r="O34" s="1419"/>
      <c r="P34" s="1439"/>
      <c r="Q34" s="1439"/>
      <c r="R34" s="1439"/>
      <c r="S34" s="1343"/>
    </row>
    <row r="35" spans="1:19" s="1440" customFormat="1" ht="15" x14ac:dyDescent="0.2">
      <c r="A35" s="1447"/>
      <c r="B35" s="1435"/>
      <c r="C35" s="1131"/>
      <c r="D35" s="1131"/>
      <c r="E35" s="1131">
        <f t="shared" si="0"/>
        <v>0</v>
      </c>
      <c r="F35" s="1509"/>
      <c r="G35" s="1134"/>
      <c r="H35" s="1436"/>
      <c r="I35" s="1134"/>
      <c r="J35" s="1134"/>
      <c r="K35" s="1437"/>
      <c r="L35" s="1438"/>
      <c r="M35" s="1423"/>
      <c r="N35" s="1439"/>
      <c r="O35" s="1419"/>
      <c r="P35" s="1439"/>
      <c r="Q35" s="1439"/>
      <c r="R35" s="1439"/>
      <c r="S35" s="1343"/>
    </row>
    <row r="36" spans="1:19" s="1440" customFormat="1" ht="15" x14ac:dyDescent="0.2">
      <c r="A36" s="1447"/>
      <c r="B36" s="1435"/>
      <c r="C36" s="1131"/>
      <c r="D36" s="1131"/>
      <c r="E36" s="1131">
        <f t="shared" si="0"/>
        <v>0</v>
      </c>
      <c r="F36" s="1509"/>
      <c r="G36" s="1134"/>
      <c r="H36" s="1436"/>
      <c r="I36" s="1134"/>
      <c r="J36" s="1134"/>
      <c r="K36" s="1437"/>
      <c r="L36" s="1438"/>
      <c r="M36" s="1423"/>
      <c r="N36" s="1439"/>
      <c r="O36" s="1419"/>
      <c r="P36" s="1439"/>
      <c r="Q36" s="1439"/>
      <c r="R36" s="1439"/>
      <c r="S36" s="1343"/>
    </row>
    <row r="37" spans="1:19" s="1440" customFormat="1" ht="15" x14ac:dyDescent="0.2">
      <c r="A37" s="1447"/>
      <c r="B37" s="1435"/>
      <c r="C37" s="1131"/>
      <c r="D37" s="1131"/>
      <c r="E37" s="1131">
        <f t="shared" si="0"/>
        <v>0</v>
      </c>
      <c r="F37" s="1509" t="str">
        <f t="shared" si="1"/>
        <v/>
      </c>
      <c r="G37" s="1134"/>
      <c r="H37" s="1436"/>
      <c r="I37" s="1134"/>
      <c r="J37" s="1134"/>
      <c r="K37" s="1437"/>
      <c r="L37" s="1438"/>
      <c r="M37" s="1423"/>
      <c r="N37" s="1439"/>
      <c r="O37" s="1419"/>
      <c r="P37" s="1439"/>
      <c r="Q37" s="1439"/>
      <c r="R37" s="1439"/>
      <c r="S37" s="1343"/>
    </row>
    <row r="38" spans="1:19" s="1440" customFormat="1" ht="15" x14ac:dyDescent="0.2">
      <c r="A38" s="1447"/>
      <c r="B38" s="1435"/>
      <c r="C38" s="1131"/>
      <c r="D38" s="1131"/>
      <c r="E38" s="1131">
        <f t="shared" si="0"/>
        <v>0</v>
      </c>
      <c r="F38" s="1509" t="str">
        <f t="shared" si="1"/>
        <v/>
      </c>
      <c r="G38" s="1134"/>
      <c r="H38" s="1436"/>
      <c r="I38" s="1134"/>
      <c r="J38" s="1134"/>
      <c r="K38" s="1437"/>
      <c r="L38" s="1438"/>
      <c r="M38" s="1423"/>
      <c r="N38" s="1439"/>
      <c r="O38" s="1419"/>
      <c r="P38" s="1439"/>
      <c r="Q38" s="1439"/>
      <c r="R38" s="1439"/>
      <c r="S38" s="1343"/>
    </row>
    <row r="39" spans="1:19" s="1440" customFormat="1" ht="15" x14ac:dyDescent="0.2">
      <c r="A39" s="1447"/>
      <c r="B39" s="1435"/>
      <c r="C39" s="1131"/>
      <c r="D39" s="1131"/>
      <c r="E39" s="1131">
        <f t="shared" si="0"/>
        <v>0</v>
      </c>
      <c r="F39" s="1509" t="str">
        <f t="shared" si="1"/>
        <v/>
      </c>
      <c r="G39" s="1134"/>
      <c r="H39" s="1436"/>
      <c r="I39" s="1134"/>
      <c r="J39" s="1134"/>
      <c r="K39" s="1437"/>
      <c r="L39" s="1438"/>
      <c r="M39" s="1423"/>
      <c r="N39" s="1439"/>
      <c r="O39" s="1419"/>
      <c r="P39" s="1439"/>
      <c r="Q39" s="1439"/>
      <c r="R39" s="1439"/>
      <c r="S39" s="1343"/>
    </row>
    <row r="40" spans="1:19" s="1440" customFormat="1" ht="15" x14ac:dyDescent="0.2">
      <c r="A40" s="1447"/>
      <c r="B40" s="1435"/>
      <c r="C40" s="1131"/>
      <c r="D40" s="1131"/>
      <c r="E40" s="1131">
        <f t="shared" si="0"/>
        <v>0</v>
      </c>
      <c r="F40" s="1509" t="str">
        <f t="shared" si="1"/>
        <v/>
      </c>
      <c r="G40" s="1134"/>
      <c r="H40" s="1436"/>
      <c r="I40" s="1134"/>
      <c r="J40" s="1134"/>
      <c r="K40" s="1437"/>
      <c r="L40" s="1438"/>
      <c r="M40" s="1423"/>
      <c r="N40" s="1439"/>
      <c r="O40" s="1419"/>
      <c r="P40" s="1439"/>
      <c r="Q40" s="1439"/>
      <c r="R40" s="1439"/>
      <c r="S40" s="1343"/>
    </row>
    <row r="41" spans="1:19" s="1440" customFormat="1" ht="15" x14ac:dyDescent="0.2">
      <c r="A41" s="1447"/>
      <c r="B41" s="1435"/>
      <c r="C41" s="1131"/>
      <c r="D41" s="1131"/>
      <c r="E41" s="1131">
        <f t="shared" si="0"/>
        <v>0</v>
      </c>
      <c r="F41" s="1509" t="str">
        <f t="shared" si="1"/>
        <v/>
      </c>
      <c r="G41" s="1134"/>
      <c r="H41" s="1436"/>
      <c r="I41" s="1134"/>
      <c r="J41" s="1134"/>
      <c r="K41" s="1437"/>
      <c r="L41" s="1438"/>
      <c r="M41" s="1423"/>
      <c r="N41" s="1439"/>
      <c r="O41" s="1419"/>
      <c r="P41" s="1439"/>
      <c r="Q41" s="1439"/>
      <c r="R41" s="1439"/>
      <c r="S41" s="1343"/>
    </row>
    <row r="42" spans="1:19" s="1440" customFormat="1" ht="15" x14ac:dyDescent="0.2">
      <c r="A42" s="1447"/>
      <c r="B42" s="1435"/>
      <c r="C42" s="1131"/>
      <c r="D42" s="1131"/>
      <c r="E42" s="1131">
        <f t="shared" si="0"/>
        <v>0</v>
      </c>
      <c r="F42" s="1509" t="str">
        <f t="shared" si="1"/>
        <v/>
      </c>
      <c r="G42" s="1134"/>
      <c r="H42" s="1436"/>
      <c r="I42" s="1134"/>
      <c r="J42" s="1134"/>
      <c r="K42" s="1437"/>
      <c r="L42" s="1438"/>
      <c r="M42" s="1423"/>
      <c r="N42" s="1439"/>
      <c r="O42" s="1419"/>
      <c r="P42" s="1439"/>
      <c r="Q42" s="1439"/>
      <c r="R42" s="1439"/>
      <c r="S42" s="1343"/>
    </row>
    <row r="43" spans="1:19" s="1440" customFormat="1" ht="15" x14ac:dyDescent="0.2">
      <c r="A43" s="1447"/>
      <c r="B43" s="1435"/>
      <c r="C43" s="1131"/>
      <c r="D43" s="1131"/>
      <c r="E43" s="1131">
        <f t="shared" si="0"/>
        <v>0</v>
      </c>
      <c r="F43" s="1509" t="str">
        <f t="shared" si="1"/>
        <v/>
      </c>
      <c r="G43" s="1134"/>
      <c r="H43" s="1436"/>
      <c r="I43" s="1134"/>
      <c r="J43" s="1134"/>
      <c r="K43" s="1437"/>
      <c r="L43" s="1438"/>
      <c r="M43" s="1423"/>
      <c r="N43" s="1439"/>
      <c r="O43" s="1419"/>
      <c r="P43" s="1439"/>
      <c r="Q43" s="1439"/>
      <c r="R43" s="1439"/>
      <c r="S43" s="1343"/>
    </row>
    <row r="44" spans="1:19" s="1440" customFormat="1" ht="15" x14ac:dyDescent="0.2">
      <c r="A44" s="1447"/>
      <c r="B44" s="1435"/>
      <c r="C44" s="1131"/>
      <c r="D44" s="1131"/>
      <c r="E44" s="1131">
        <f t="shared" si="0"/>
        <v>0</v>
      </c>
      <c r="F44" s="1509" t="str">
        <f t="shared" si="1"/>
        <v/>
      </c>
      <c r="G44" s="1134"/>
      <c r="H44" s="1436"/>
      <c r="I44" s="1134"/>
      <c r="J44" s="1134"/>
      <c r="K44" s="1437"/>
      <c r="L44" s="1438"/>
      <c r="M44" s="1423"/>
      <c r="N44" s="1439"/>
      <c r="O44" s="1419"/>
      <c r="P44" s="1439"/>
      <c r="Q44" s="1439"/>
      <c r="R44" s="1439"/>
      <c r="S44" s="1343"/>
    </row>
    <row r="45" spans="1:19" s="1440" customFormat="1" ht="15" x14ac:dyDescent="0.2">
      <c r="A45" s="1447"/>
      <c r="B45" s="1435"/>
      <c r="C45" s="1131"/>
      <c r="D45" s="1131"/>
      <c r="E45" s="1131">
        <f t="shared" si="0"/>
        <v>0</v>
      </c>
      <c r="F45" s="1509" t="str">
        <f t="shared" si="1"/>
        <v/>
      </c>
      <c r="G45" s="1134"/>
      <c r="H45" s="1436"/>
      <c r="I45" s="1134"/>
      <c r="J45" s="1134"/>
      <c r="K45" s="1437"/>
      <c r="L45" s="1438"/>
      <c r="M45" s="1423"/>
      <c r="N45" s="1439"/>
      <c r="O45" s="1419"/>
      <c r="P45" s="1439"/>
      <c r="Q45" s="1439"/>
      <c r="R45" s="1439"/>
      <c r="S45" s="1343"/>
    </row>
    <row r="46" spans="1:19" s="1440" customFormat="1" ht="15" x14ac:dyDescent="0.2">
      <c r="A46" s="1447"/>
      <c r="B46" s="1435"/>
      <c r="C46" s="1131"/>
      <c r="D46" s="1131"/>
      <c r="E46" s="1131">
        <f t="shared" si="0"/>
        <v>0</v>
      </c>
      <c r="F46" s="1509" t="str">
        <f t="shared" si="1"/>
        <v/>
      </c>
      <c r="G46" s="1134"/>
      <c r="H46" s="1436"/>
      <c r="I46" s="1134"/>
      <c r="J46" s="1134"/>
      <c r="K46" s="1437"/>
      <c r="L46" s="1438"/>
      <c r="M46" s="1423"/>
      <c r="N46" s="1439"/>
      <c r="O46" s="1419"/>
      <c r="P46" s="1439"/>
      <c r="Q46" s="1439"/>
      <c r="R46" s="1439"/>
      <c r="S46" s="1343"/>
    </row>
    <row r="47" spans="1:19" s="1440" customFormat="1" ht="15" x14ac:dyDescent="0.2">
      <c r="A47" s="1447"/>
      <c r="B47" s="1435"/>
      <c r="C47" s="1131"/>
      <c r="D47" s="1131"/>
      <c r="E47" s="1131">
        <f t="shared" si="0"/>
        <v>0</v>
      </c>
      <c r="F47" s="1509" t="str">
        <f t="shared" si="1"/>
        <v/>
      </c>
      <c r="G47" s="1134"/>
      <c r="H47" s="1436"/>
      <c r="I47" s="1134"/>
      <c r="J47" s="1134"/>
      <c r="K47" s="1437"/>
      <c r="L47" s="1438"/>
      <c r="M47" s="1423"/>
      <c r="N47" s="1439"/>
      <c r="O47" s="1419"/>
      <c r="P47" s="1439"/>
      <c r="Q47" s="1439"/>
      <c r="R47" s="1439"/>
      <c r="S47" s="1343"/>
    </row>
    <row r="48" spans="1:19" s="1440" customFormat="1" ht="15" x14ac:dyDescent="0.2">
      <c r="A48" s="1447"/>
      <c r="B48" s="1435"/>
      <c r="C48" s="1131"/>
      <c r="D48" s="1131"/>
      <c r="E48" s="1131">
        <f t="shared" si="0"/>
        <v>0</v>
      </c>
      <c r="F48" s="1509" t="str">
        <f t="shared" si="1"/>
        <v/>
      </c>
      <c r="G48" s="1134"/>
      <c r="H48" s="1436"/>
      <c r="I48" s="1134"/>
      <c r="J48" s="1134"/>
      <c r="K48" s="1437"/>
      <c r="L48" s="1438"/>
      <c r="M48" s="1423"/>
      <c r="N48" s="1439"/>
      <c r="O48" s="1419"/>
      <c r="P48" s="1439"/>
      <c r="Q48" s="1439"/>
      <c r="R48" s="1439"/>
      <c r="S48" s="1343"/>
    </row>
    <row r="49" spans="1:19" s="1440" customFormat="1" ht="15" x14ac:dyDescent="0.2">
      <c r="A49" s="1447"/>
      <c r="B49" s="1435"/>
      <c r="C49" s="1131"/>
      <c r="D49" s="1131"/>
      <c r="E49" s="1131">
        <f t="shared" si="0"/>
        <v>0</v>
      </c>
      <c r="F49" s="1509" t="str">
        <f t="shared" si="1"/>
        <v/>
      </c>
      <c r="G49" s="1134"/>
      <c r="H49" s="1436"/>
      <c r="I49" s="1134"/>
      <c r="J49" s="1134"/>
      <c r="K49" s="1437"/>
      <c r="L49" s="1438"/>
      <c r="M49" s="1423"/>
      <c r="N49" s="1439"/>
      <c r="O49" s="1419"/>
      <c r="P49" s="1439"/>
      <c r="Q49" s="1439"/>
      <c r="R49" s="1439"/>
      <c r="S49" s="1343"/>
    </row>
    <row r="50" spans="1:19" s="1440" customFormat="1" ht="15" x14ac:dyDescent="0.2">
      <c r="A50" s="1447"/>
      <c r="B50" s="1435"/>
      <c r="C50" s="1131"/>
      <c r="D50" s="1131"/>
      <c r="E50" s="1131">
        <f t="shared" si="0"/>
        <v>0</v>
      </c>
      <c r="F50" s="1509" t="str">
        <f t="shared" si="1"/>
        <v/>
      </c>
      <c r="G50" s="1134"/>
      <c r="H50" s="1436"/>
      <c r="I50" s="1134"/>
      <c r="J50" s="1134"/>
      <c r="K50" s="1437"/>
      <c r="L50" s="1438"/>
      <c r="M50" s="1423"/>
      <c r="N50" s="1439"/>
      <c r="O50" s="1419"/>
      <c r="P50" s="1439"/>
      <c r="Q50" s="1439"/>
      <c r="R50" s="1439"/>
      <c r="S50" s="1343"/>
    </row>
    <row r="51" spans="1:19" s="1440" customFormat="1" ht="15" x14ac:dyDescent="0.2">
      <c r="A51" s="1447"/>
      <c r="B51" s="1435"/>
      <c r="C51" s="1131"/>
      <c r="D51" s="1131"/>
      <c r="E51" s="1131">
        <f t="shared" si="0"/>
        <v>0</v>
      </c>
      <c r="F51" s="1509" t="str">
        <f t="shared" si="1"/>
        <v/>
      </c>
      <c r="G51" s="1134"/>
      <c r="H51" s="1436"/>
      <c r="I51" s="1134"/>
      <c r="J51" s="1134"/>
      <c r="K51" s="1437"/>
      <c r="L51" s="1438"/>
      <c r="M51" s="1423"/>
      <c r="N51" s="1439"/>
      <c r="O51" s="1419"/>
      <c r="P51" s="1439"/>
      <c r="Q51" s="1439"/>
      <c r="R51" s="1439"/>
      <c r="S51" s="1343"/>
    </row>
    <row r="52" spans="1:19" s="1440" customFormat="1" ht="15" x14ac:dyDescent="0.2">
      <c r="A52" s="1447"/>
      <c r="B52" s="1435"/>
      <c r="C52" s="1131"/>
      <c r="D52" s="1131"/>
      <c r="E52" s="1131">
        <f t="shared" si="0"/>
        <v>0</v>
      </c>
      <c r="F52" s="1509" t="str">
        <f t="shared" si="1"/>
        <v/>
      </c>
      <c r="G52" s="1134"/>
      <c r="H52" s="1436"/>
      <c r="I52" s="1134"/>
      <c r="J52" s="1134"/>
      <c r="K52" s="1437"/>
      <c r="L52" s="1438"/>
      <c r="M52" s="1423"/>
      <c r="N52" s="1439"/>
      <c r="O52" s="1419"/>
      <c r="P52" s="1439"/>
      <c r="Q52" s="1439"/>
      <c r="R52" s="1439"/>
      <c r="S52" s="1343"/>
    </row>
    <row r="53" spans="1:19" s="1440" customFormat="1" ht="15" x14ac:dyDescent="0.2">
      <c r="A53" s="1447"/>
      <c r="B53" s="1435"/>
      <c r="C53" s="1131"/>
      <c r="D53" s="1131"/>
      <c r="E53" s="1131">
        <f t="shared" si="0"/>
        <v>0</v>
      </c>
      <c r="F53" s="1509" t="str">
        <f t="shared" si="1"/>
        <v/>
      </c>
      <c r="G53" s="1134"/>
      <c r="H53" s="1436"/>
      <c r="I53" s="1134"/>
      <c r="J53" s="1134"/>
      <c r="K53" s="1437"/>
      <c r="L53" s="1438"/>
      <c r="M53" s="1423"/>
      <c r="N53" s="1439"/>
      <c r="O53" s="1419"/>
      <c r="P53" s="1439"/>
      <c r="Q53" s="1439"/>
      <c r="R53" s="1439"/>
      <c r="S53" s="1343"/>
    </row>
    <row r="54" spans="1:19" s="1440" customFormat="1" ht="15" x14ac:dyDescent="0.2">
      <c r="A54" s="1447"/>
      <c r="B54" s="1435"/>
      <c r="C54" s="1131"/>
      <c r="D54" s="1131"/>
      <c r="E54" s="1131">
        <f t="shared" si="0"/>
        <v>0</v>
      </c>
      <c r="F54" s="1509" t="str">
        <f t="shared" si="1"/>
        <v/>
      </c>
      <c r="G54" s="1134"/>
      <c r="H54" s="1436"/>
      <c r="I54" s="1423"/>
      <c r="J54" s="1437"/>
      <c r="K54" s="1438"/>
      <c r="L54" s="1423"/>
      <c r="M54" s="1423"/>
      <c r="N54" s="1419"/>
      <c r="O54" s="1423"/>
      <c r="P54" s="1439"/>
      <c r="Q54" s="1419"/>
      <c r="R54" s="1439"/>
      <c r="S54" s="1343"/>
    </row>
    <row r="55" spans="1:19" s="1440" customFormat="1" ht="15" x14ac:dyDescent="0.2">
      <c r="A55" s="1447"/>
      <c r="B55" s="1435"/>
      <c r="C55" s="1131"/>
      <c r="D55" s="1131"/>
      <c r="E55" s="1131">
        <f t="shared" si="0"/>
        <v>0</v>
      </c>
      <c r="F55" s="1509" t="str">
        <f t="shared" si="1"/>
        <v/>
      </c>
      <c r="G55" s="1134"/>
      <c r="H55" s="1436"/>
      <c r="I55" s="1423"/>
      <c r="J55" s="1437"/>
      <c r="K55" s="1438"/>
      <c r="L55" s="1423"/>
      <c r="M55" s="1423"/>
      <c r="N55" s="1439"/>
      <c r="O55" s="1423"/>
      <c r="P55" s="1439"/>
      <c r="Q55" s="1439"/>
      <c r="R55" s="1439"/>
      <c r="S55" s="1343"/>
    </row>
    <row r="56" spans="1:19" s="1440" customFormat="1" ht="15" x14ac:dyDescent="0.2">
      <c r="A56" s="1447"/>
      <c r="B56" s="1435"/>
      <c r="C56" s="1131"/>
      <c r="D56" s="1131"/>
      <c r="E56" s="1131">
        <f t="shared" si="0"/>
        <v>0</v>
      </c>
      <c r="F56" s="1509" t="str">
        <f t="shared" si="1"/>
        <v/>
      </c>
      <c r="G56" s="1134"/>
      <c r="H56" s="1436"/>
      <c r="I56" s="1423"/>
      <c r="J56" s="1437"/>
      <c r="K56" s="1438"/>
      <c r="L56" s="1423"/>
      <c r="M56" s="1423"/>
      <c r="N56" s="1419"/>
      <c r="O56" s="1423"/>
      <c r="P56" s="1439"/>
      <c r="Q56" s="1419"/>
      <c r="R56" s="1439"/>
      <c r="S56" s="1343"/>
    </row>
    <row r="57" spans="1:19" s="1440" customFormat="1" ht="15" x14ac:dyDescent="0.2">
      <c r="A57" s="1447"/>
      <c r="B57" s="1435"/>
      <c r="C57" s="1131"/>
      <c r="D57" s="1131"/>
      <c r="E57" s="1131">
        <f t="shared" si="0"/>
        <v>0</v>
      </c>
      <c r="F57" s="1509" t="str">
        <f t="shared" si="1"/>
        <v/>
      </c>
      <c r="G57" s="1134"/>
      <c r="H57" s="1436"/>
      <c r="I57" s="1423"/>
      <c r="J57" s="1437"/>
      <c r="K57" s="1438"/>
      <c r="L57" s="1423"/>
      <c r="M57" s="1423"/>
      <c r="N57" s="1439"/>
      <c r="O57" s="1419"/>
      <c r="P57" s="1439"/>
      <c r="Q57" s="1439"/>
      <c r="R57" s="1439"/>
      <c r="S57" s="1343"/>
    </row>
    <row r="58" spans="1:19" s="1440" customFormat="1" ht="15" x14ac:dyDescent="0.2">
      <c r="A58" s="1447"/>
      <c r="B58" s="1435"/>
      <c r="C58" s="1131"/>
      <c r="D58" s="1131"/>
      <c r="E58" s="1131">
        <f t="shared" si="0"/>
        <v>0</v>
      </c>
      <c r="F58" s="1509" t="str">
        <f t="shared" si="1"/>
        <v/>
      </c>
      <c r="G58" s="1134"/>
      <c r="H58" s="1436"/>
      <c r="I58" s="1423"/>
      <c r="J58" s="1437"/>
      <c r="K58" s="1438"/>
      <c r="L58" s="1423"/>
      <c r="M58" s="1423"/>
      <c r="N58" s="1439"/>
      <c r="O58" s="1423"/>
      <c r="P58" s="1439"/>
      <c r="Q58" s="1439"/>
      <c r="R58" s="1439"/>
      <c r="S58" s="1343"/>
    </row>
    <row r="59" spans="1:19" s="1440" customFormat="1" ht="15" x14ac:dyDescent="0.2">
      <c r="A59" s="1447"/>
      <c r="B59" s="1435"/>
      <c r="C59" s="1131"/>
      <c r="D59" s="1131"/>
      <c r="E59" s="1131">
        <f t="shared" si="0"/>
        <v>0</v>
      </c>
      <c r="F59" s="1509" t="str">
        <f t="shared" si="1"/>
        <v/>
      </c>
      <c r="G59" s="1134"/>
      <c r="H59" s="1436"/>
      <c r="I59" s="1423"/>
      <c r="J59" s="1437"/>
      <c r="K59" s="1438"/>
      <c r="L59" s="1423"/>
      <c r="M59" s="1423"/>
      <c r="N59" s="1439"/>
      <c r="O59" s="1423"/>
      <c r="P59" s="1439"/>
      <c r="Q59" s="1439"/>
      <c r="R59" s="1439"/>
      <c r="S59" s="1343"/>
    </row>
    <row r="60" spans="1:19" s="1440" customFormat="1" ht="15" x14ac:dyDescent="0.2">
      <c r="A60" s="1447"/>
      <c r="B60" s="1435"/>
      <c r="C60" s="1131"/>
      <c r="D60" s="1131"/>
      <c r="E60" s="1131">
        <f t="shared" si="0"/>
        <v>0</v>
      </c>
      <c r="F60" s="1509" t="str">
        <f t="shared" si="1"/>
        <v/>
      </c>
      <c r="G60" s="1134"/>
      <c r="H60" s="1436"/>
      <c r="I60" s="1423"/>
      <c r="J60" s="1437"/>
      <c r="K60" s="1438"/>
      <c r="L60" s="1423"/>
      <c r="M60" s="1423"/>
      <c r="N60" s="1439"/>
      <c r="O60" s="1423"/>
      <c r="P60" s="1439"/>
      <c r="Q60" s="1439"/>
      <c r="R60" s="1439"/>
      <c r="S60" s="1343"/>
    </row>
    <row r="61" spans="1:19" s="1440" customFormat="1" ht="15" x14ac:dyDescent="0.2">
      <c r="A61" s="1447"/>
      <c r="B61" s="1435"/>
      <c r="C61" s="1131"/>
      <c r="D61" s="1131"/>
      <c r="E61" s="1131">
        <f t="shared" ref="E61:E72" si="2">+C61-D61</f>
        <v>0</v>
      </c>
      <c r="F61" s="1509" t="str">
        <f t="shared" ref="F61:F72" si="3">IF(C61="","",+(C61-D61)/D61)</f>
        <v/>
      </c>
      <c r="G61" s="1134"/>
      <c r="H61" s="1436"/>
      <c r="I61" s="1423"/>
      <c r="J61" s="1437"/>
      <c r="K61" s="1438"/>
      <c r="L61" s="1423"/>
      <c r="M61" s="1423"/>
      <c r="N61" s="1439"/>
      <c r="O61" s="1423"/>
      <c r="P61" s="1439"/>
      <c r="Q61" s="1439"/>
      <c r="R61" s="1439"/>
      <c r="S61" s="1343"/>
    </row>
    <row r="62" spans="1:19" s="1440" customFormat="1" ht="16.899999999999999" customHeight="1" x14ac:dyDescent="0.2">
      <c r="A62" s="1447"/>
      <c r="B62" s="1435"/>
      <c r="C62" s="1131"/>
      <c r="D62" s="1131"/>
      <c r="E62" s="1131">
        <f t="shared" si="2"/>
        <v>0</v>
      </c>
      <c r="F62" s="1509" t="str">
        <f t="shared" si="3"/>
        <v/>
      </c>
      <c r="G62" s="1134"/>
      <c r="H62" s="1436"/>
      <c r="I62" s="1423"/>
      <c r="J62" s="1437"/>
      <c r="K62" s="1438"/>
      <c r="L62" s="1423"/>
      <c r="M62" s="1423"/>
      <c r="N62" s="1439"/>
      <c r="O62" s="1423"/>
      <c r="P62" s="1439"/>
      <c r="Q62" s="1439"/>
      <c r="R62" s="1439"/>
      <c r="S62" s="1343"/>
    </row>
    <row r="63" spans="1:19" s="1440" customFormat="1" ht="16.899999999999999" customHeight="1" x14ac:dyDescent="0.2">
      <c r="A63" s="1447"/>
      <c r="B63" s="1435"/>
      <c r="C63" s="1131"/>
      <c r="D63" s="1131"/>
      <c r="E63" s="1131">
        <f t="shared" si="2"/>
        <v>0</v>
      </c>
      <c r="F63" s="1509" t="str">
        <f t="shared" si="3"/>
        <v/>
      </c>
      <c r="G63" s="1134"/>
      <c r="H63" s="1436"/>
      <c r="I63" s="1423"/>
      <c r="J63" s="1437"/>
      <c r="K63" s="1438"/>
      <c r="L63" s="1423"/>
      <c r="M63" s="1423"/>
      <c r="N63" s="1439"/>
      <c r="O63" s="1423"/>
      <c r="P63" s="1439"/>
      <c r="Q63" s="1439"/>
      <c r="R63" s="1439"/>
      <c r="S63" s="1343"/>
    </row>
    <row r="64" spans="1:19" s="1440" customFormat="1" ht="16.899999999999999" customHeight="1" x14ac:dyDescent="0.2">
      <c r="A64" s="1447"/>
      <c r="B64" s="1435"/>
      <c r="C64" s="1131"/>
      <c r="D64" s="1131"/>
      <c r="E64" s="1131">
        <f t="shared" si="2"/>
        <v>0</v>
      </c>
      <c r="F64" s="1509" t="str">
        <f t="shared" si="3"/>
        <v/>
      </c>
      <c r="G64" s="1134"/>
      <c r="H64" s="1436"/>
      <c r="I64" s="1423"/>
      <c r="J64" s="1437"/>
      <c r="K64" s="1438"/>
      <c r="L64" s="1423"/>
      <c r="M64" s="1423"/>
      <c r="N64" s="1439"/>
      <c r="O64" s="1423"/>
      <c r="P64" s="1439"/>
      <c r="Q64" s="1439"/>
      <c r="R64" s="1439"/>
      <c r="S64" s="1343"/>
    </row>
    <row r="65" spans="1:19" s="1440" customFormat="1" ht="16.899999999999999" customHeight="1" x14ac:dyDescent="0.2">
      <c r="A65" s="1447"/>
      <c r="B65" s="1435"/>
      <c r="C65" s="1131"/>
      <c r="D65" s="1131"/>
      <c r="E65" s="1131">
        <f t="shared" si="2"/>
        <v>0</v>
      </c>
      <c r="F65" s="1509" t="str">
        <f t="shared" si="3"/>
        <v/>
      </c>
      <c r="G65" s="1134"/>
      <c r="H65" s="1436"/>
      <c r="I65" s="1423"/>
      <c r="J65" s="1437"/>
      <c r="K65" s="1438"/>
      <c r="L65" s="1423"/>
      <c r="M65" s="1423"/>
      <c r="N65" s="1439"/>
      <c r="O65" s="1423"/>
      <c r="P65" s="1439"/>
      <c r="Q65" s="1439"/>
      <c r="R65" s="1439"/>
      <c r="S65" s="1343"/>
    </row>
    <row r="66" spans="1:19" s="1440" customFormat="1" ht="16.899999999999999" customHeight="1" x14ac:dyDescent="0.2">
      <c r="A66" s="1447"/>
      <c r="B66" s="1435"/>
      <c r="C66" s="1131"/>
      <c r="D66" s="1131"/>
      <c r="E66" s="1131">
        <f>+C66-D66</f>
        <v>0</v>
      </c>
      <c r="F66" s="1509" t="str">
        <f t="shared" si="3"/>
        <v/>
      </c>
      <c r="G66" s="1134"/>
      <c r="H66" s="1436"/>
      <c r="I66" s="1423"/>
      <c r="J66" s="1437"/>
      <c r="K66" s="1438"/>
      <c r="L66" s="1423"/>
      <c r="M66" s="1423"/>
      <c r="N66" s="1439"/>
      <c r="O66" s="1423"/>
      <c r="P66" s="1439"/>
      <c r="Q66" s="1439"/>
      <c r="R66" s="1439"/>
      <c r="S66" s="1343"/>
    </row>
    <row r="67" spans="1:19" s="1440" customFormat="1" ht="16.899999999999999" customHeight="1" x14ac:dyDescent="0.2">
      <c r="A67" s="1447"/>
      <c r="B67" s="1435"/>
      <c r="C67" s="1131"/>
      <c r="D67" s="1131"/>
      <c r="E67" s="1131">
        <f t="shared" si="2"/>
        <v>0</v>
      </c>
      <c r="F67" s="1509" t="str">
        <f t="shared" si="3"/>
        <v/>
      </c>
      <c r="G67" s="1134"/>
      <c r="H67" s="1436"/>
      <c r="I67" s="1423"/>
      <c r="J67" s="1437"/>
      <c r="K67" s="1438"/>
      <c r="L67" s="1423"/>
      <c r="M67" s="1423"/>
      <c r="N67" s="1439"/>
      <c r="O67" s="1423"/>
      <c r="P67" s="1439"/>
      <c r="Q67" s="1439"/>
      <c r="R67" s="1439"/>
      <c r="S67" s="1343"/>
    </row>
    <row r="68" spans="1:19" s="1440" customFormat="1" ht="16.899999999999999" customHeight="1" x14ac:dyDescent="0.2">
      <c r="A68" s="1447"/>
      <c r="B68" s="1435"/>
      <c r="C68" s="1131"/>
      <c r="D68" s="1131"/>
      <c r="E68" s="1131">
        <f t="shared" si="2"/>
        <v>0</v>
      </c>
      <c r="F68" s="1509" t="str">
        <f t="shared" si="3"/>
        <v/>
      </c>
      <c r="G68" s="1134"/>
      <c r="H68" s="1436"/>
      <c r="I68" s="1423"/>
      <c r="J68" s="1437"/>
      <c r="K68" s="1438"/>
      <c r="L68" s="1423"/>
      <c r="M68" s="1423"/>
      <c r="N68" s="1439"/>
      <c r="O68" s="1423"/>
      <c r="P68" s="1439"/>
      <c r="Q68" s="1439"/>
      <c r="R68" s="1439"/>
      <c r="S68" s="1343"/>
    </row>
    <row r="69" spans="1:19" s="1138" customFormat="1" ht="16.899999999999999" customHeight="1" x14ac:dyDescent="0.2">
      <c r="A69" s="1130"/>
      <c r="B69" s="1130"/>
      <c r="C69" s="1131"/>
      <c r="D69" s="1131"/>
      <c r="E69" s="1131">
        <f t="shared" si="2"/>
        <v>0</v>
      </c>
      <c r="F69" s="1509" t="str">
        <f t="shared" si="3"/>
        <v/>
      </c>
      <c r="G69" s="1134"/>
      <c r="H69" s="1332"/>
      <c r="I69" s="1139"/>
      <c r="J69" s="1133"/>
      <c r="K69" s="1136"/>
      <c r="L69" s="1139"/>
      <c r="M69" s="1139"/>
      <c r="N69" s="1137"/>
      <c r="O69" s="1139"/>
      <c r="P69" s="1139"/>
      <c r="Q69" s="1137"/>
      <c r="R69" s="1137"/>
      <c r="S69" s="1137"/>
    </row>
    <row r="70" spans="1:19" s="1138" customFormat="1" ht="16.899999999999999" customHeight="1" x14ac:dyDescent="0.2">
      <c r="A70" s="1130"/>
      <c r="B70" s="1130"/>
      <c r="C70" s="1131"/>
      <c r="D70" s="1131"/>
      <c r="E70" s="1131">
        <f t="shared" si="2"/>
        <v>0</v>
      </c>
      <c r="F70" s="1509" t="str">
        <f t="shared" si="3"/>
        <v/>
      </c>
      <c r="G70" s="1134"/>
      <c r="H70" s="1332"/>
      <c r="I70" s="1139"/>
      <c r="J70" s="1133"/>
      <c r="K70" s="1136"/>
      <c r="L70" s="1139"/>
      <c r="M70" s="1139"/>
      <c r="N70" s="1137"/>
      <c r="O70" s="1139"/>
      <c r="P70" s="1139"/>
      <c r="Q70" s="1137"/>
      <c r="R70" s="1137"/>
      <c r="S70" s="1137"/>
    </row>
    <row r="71" spans="1:19" s="1138" customFormat="1" ht="16.899999999999999" customHeight="1" x14ac:dyDescent="0.2">
      <c r="A71" s="1130"/>
      <c r="B71" s="1130"/>
      <c r="C71" s="1131"/>
      <c r="D71" s="1131"/>
      <c r="E71" s="1131">
        <f t="shared" si="2"/>
        <v>0</v>
      </c>
      <c r="F71" s="1509" t="str">
        <f t="shared" si="3"/>
        <v/>
      </c>
      <c r="G71" s="1134"/>
      <c r="H71" s="1332"/>
      <c r="I71" s="1139"/>
      <c r="J71" s="1133"/>
      <c r="K71" s="1136"/>
      <c r="L71" s="1139"/>
      <c r="M71" s="1139"/>
      <c r="N71" s="1137"/>
      <c r="O71" s="1139"/>
      <c r="P71" s="1139"/>
      <c r="Q71" s="1137"/>
      <c r="R71" s="1137"/>
      <c r="S71" s="1137"/>
    </row>
    <row r="72" spans="1:19" s="1138" customFormat="1" ht="16.899999999999999" customHeight="1" x14ac:dyDescent="0.2">
      <c r="A72" s="1337"/>
      <c r="B72" s="1338"/>
      <c r="C72" s="1131"/>
      <c r="D72" s="1131"/>
      <c r="E72" s="1131">
        <f t="shared" si="2"/>
        <v>0</v>
      </c>
      <c r="F72" s="1509" t="str">
        <f t="shared" si="3"/>
        <v/>
      </c>
      <c r="G72" s="1134"/>
      <c r="H72" s="1135"/>
      <c r="I72" s="1139"/>
      <c r="J72" s="1133"/>
      <c r="K72" s="1136"/>
      <c r="L72" s="1139"/>
      <c r="M72" s="1139"/>
      <c r="N72" s="1137"/>
      <c r="O72" s="1139"/>
      <c r="P72" s="1139"/>
      <c r="Q72" s="1137"/>
      <c r="R72" s="1137"/>
      <c r="S72" s="1137"/>
    </row>
    <row r="73" spans="1:19" s="51" customFormat="1" x14ac:dyDescent="0.2">
      <c r="B73" s="1335"/>
      <c r="C73" s="1140"/>
      <c r="D73" s="1140"/>
    </row>
    <row r="74" spans="1:19" s="51" customFormat="1" x14ac:dyDescent="0.2">
      <c r="C74" s="1140"/>
      <c r="D74" s="1140"/>
    </row>
    <row r="75" spans="1:19" s="51" customFormat="1" ht="14.25" customHeight="1" x14ac:dyDescent="0.2">
      <c r="B75" s="1901" t="s">
        <v>666</v>
      </c>
      <c r="C75" s="1903"/>
      <c r="D75" s="1904"/>
      <c r="E75" s="1904"/>
      <c r="F75" s="1905"/>
      <c r="G75" s="1126"/>
    </row>
    <row r="76" spans="1:19" s="51" customFormat="1" ht="14.25" customHeight="1" x14ac:dyDescent="0.2">
      <c r="B76" s="1902"/>
      <c r="C76" s="1906"/>
      <c r="D76" s="1907"/>
      <c r="E76" s="1907"/>
      <c r="F76" s="1908"/>
      <c r="G76" s="1126"/>
    </row>
    <row r="77" spans="1:19" s="51" customFormat="1" ht="15" thickBot="1" x14ac:dyDescent="0.25"/>
    <row r="78" spans="1:19" s="51" customFormat="1" ht="15" thickBot="1" x14ac:dyDescent="0.25">
      <c r="B78" s="1922" t="s">
        <v>667</v>
      </c>
      <c r="C78" s="1898"/>
      <c r="D78" s="1899"/>
      <c r="E78" s="1899"/>
      <c r="F78" s="1900"/>
      <c r="G78" s="1127"/>
      <c r="H78" s="1127"/>
      <c r="I78" s="1127"/>
      <c r="J78" s="1127"/>
      <c r="K78" s="1127"/>
      <c r="L78" s="1127"/>
      <c r="M78" s="1127"/>
      <c r="N78" s="1127"/>
      <c r="O78" s="1127"/>
      <c r="P78" s="1127"/>
      <c r="Q78" s="1127"/>
      <c r="R78" s="1127"/>
      <c r="S78" s="1127"/>
    </row>
    <row r="79" spans="1:19" s="51" customFormat="1" ht="15" thickBot="1" x14ac:dyDescent="0.25">
      <c r="B79" s="1923"/>
      <c r="C79" s="1898"/>
      <c r="D79" s="1899"/>
      <c r="E79" s="1899"/>
      <c r="F79" s="1900"/>
      <c r="G79" s="307"/>
      <c r="H79" s="307"/>
      <c r="I79" s="307"/>
      <c r="J79" s="307"/>
      <c r="K79" s="307"/>
      <c r="L79" s="307"/>
      <c r="M79" s="307"/>
      <c r="N79" s="307"/>
      <c r="O79" s="307"/>
      <c r="P79" s="307"/>
      <c r="Q79" s="307"/>
      <c r="R79" s="307"/>
      <c r="S79" s="307"/>
    </row>
    <row r="80" spans="1:19" s="51" customFormat="1" ht="15" thickBot="1" x14ac:dyDescent="0.25">
      <c r="B80" s="1924"/>
      <c r="C80" s="1898"/>
      <c r="D80" s="1899"/>
      <c r="E80" s="1899"/>
      <c r="F80" s="1900"/>
      <c r="G80" s="307"/>
      <c r="H80" s="307"/>
      <c r="I80" s="307"/>
      <c r="J80" s="307"/>
      <c r="K80" s="307"/>
      <c r="L80" s="307"/>
      <c r="M80" s="307"/>
      <c r="N80" s="307"/>
      <c r="O80" s="307"/>
      <c r="P80" s="307"/>
      <c r="Q80" s="307"/>
      <c r="R80" s="307"/>
      <c r="S80" s="307"/>
    </row>
    <row r="81" spans="1:19" s="51" customFormat="1" ht="15" thickBot="1" x14ac:dyDescent="0.25">
      <c r="B81" s="1128" t="s">
        <v>668</v>
      </c>
      <c r="C81" s="1898"/>
      <c r="D81" s="1899"/>
      <c r="E81" s="1899"/>
      <c r="F81" s="1900"/>
      <c r="G81" s="307"/>
      <c r="H81" s="307"/>
      <c r="I81" s="307"/>
      <c r="J81" s="307"/>
      <c r="K81" s="307"/>
      <c r="L81" s="307"/>
      <c r="M81" s="307"/>
      <c r="N81" s="307"/>
      <c r="O81" s="307"/>
      <c r="P81" s="307"/>
      <c r="Q81" s="307"/>
      <c r="R81" s="307"/>
      <c r="S81" s="307"/>
    </row>
    <row r="82" spans="1:19" s="51" customFormat="1" x14ac:dyDescent="0.2"/>
    <row r="83" spans="1:19" s="51" customFormat="1" ht="15" x14ac:dyDescent="0.25">
      <c r="B83" s="51" t="s">
        <v>669</v>
      </c>
    </row>
    <row r="84" spans="1:19" s="51" customFormat="1" ht="15" x14ac:dyDescent="0.25">
      <c r="B84" s="51" t="s">
        <v>670</v>
      </c>
    </row>
    <row r="85" spans="1:19" s="51" customFormat="1" ht="15" x14ac:dyDescent="0.25">
      <c r="B85" s="51" t="s">
        <v>1674</v>
      </c>
    </row>
    <row r="86" spans="1:19" s="51" customFormat="1" x14ac:dyDescent="0.2">
      <c r="C86" s="1140"/>
      <c r="D86" s="1140"/>
    </row>
    <row r="87" spans="1:19" s="51" customFormat="1" x14ac:dyDescent="0.2">
      <c r="C87" s="1140"/>
      <c r="D87" s="1140"/>
    </row>
    <row r="88" spans="1:19" ht="36" customHeight="1" x14ac:dyDescent="0.2">
      <c r="A88" s="1909" t="s">
        <v>1705</v>
      </c>
      <c r="B88" s="1909"/>
      <c r="C88" s="1909"/>
      <c r="D88" s="1909"/>
      <c r="E88" s="1909"/>
      <c r="F88" s="1909"/>
      <c r="G88" s="1909"/>
      <c r="H88" s="1909"/>
      <c r="J88" s="62"/>
      <c r="K88" s="62"/>
      <c r="N88" s="62"/>
      <c r="O88" s="62"/>
      <c r="Q88" s="62"/>
      <c r="R88" s="62"/>
    </row>
    <row r="89" spans="1:19" x14ac:dyDescent="0.2">
      <c r="C89" s="11"/>
      <c r="D89" s="11"/>
      <c r="H89" s="1066"/>
      <c r="J89" s="62"/>
      <c r="K89" s="62"/>
      <c r="N89" s="62"/>
      <c r="O89" s="62"/>
      <c r="Q89" s="62"/>
      <c r="R89" s="62"/>
    </row>
    <row r="90" spans="1:19" ht="18" x14ac:dyDescent="0.2">
      <c r="C90" s="1910" t="s">
        <v>672</v>
      </c>
      <c r="D90" s="1910"/>
      <c r="E90" s="1910"/>
      <c r="F90" s="1910"/>
      <c r="G90" s="1910"/>
      <c r="H90" s="1910"/>
    </row>
    <row r="91" spans="1:19" x14ac:dyDescent="0.2">
      <c r="B91" s="11" t="s">
        <v>0</v>
      </c>
      <c r="C91" s="1927" t="str">
        <f>IF(C92="Fondo de Pensiones Públicas de Bogotá – FPPB",C6,IF(C92="Sistema Intregado de Transporte Público-SITP",C6,"NO APLICA"))</f>
        <v xml:space="preserve">80000 - DIRECCIÓN SECTOR MOVILIDAD </v>
      </c>
      <c r="D91" s="1927"/>
    </row>
    <row r="92" spans="1:19" x14ac:dyDescent="0.2">
      <c r="B92" s="11" t="s">
        <v>1</v>
      </c>
      <c r="C92" s="1928" t="str">
        <f>IF(C7="206 - Fondo de Prestaciones Económicas, Cesantías y Pensiones – FONCEP ","Fondo de Pensiones Públicas de Bogotá – FPPB",IF(C7="262 - Empresa de Transporte del Tercer Milenio - Transmilenio S.A. ","Sistema Intregado de Transporte Público-SITP","NO APLICA"))</f>
        <v>Sistema Intregado de Transporte Público-SITP</v>
      </c>
      <c r="D92" s="1928"/>
      <c r="F92" s="302" t="s">
        <v>2</v>
      </c>
      <c r="G92" s="303"/>
      <c r="H92" s="1118">
        <f>+H7</f>
        <v>2024</v>
      </c>
      <c r="P92" s="304"/>
      <c r="Q92" s="304"/>
      <c r="R92" s="304"/>
      <c r="S92" s="304"/>
    </row>
    <row r="93" spans="1:19" x14ac:dyDescent="0.2">
      <c r="B93" s="11" t="s">
        <v>1589</v>
      </c>
      <c r="C93" s="1122">
        <f>+C8</f>
        <v>2025</v>
      </c>
      <c r="D93" s="1123"/>
      <c r="F93" s="302" t="s">
        <v>3</v>
      </c>
      <c r="G93" s="303"/>
      <c r="H93" s="1118">
        <f>+H8</f>
        <v>87</v>
      </c>
    </row>
    <row r="94" spans="1:19" x14ac:dyDescent="0.2">
      <c r="B94" s="11" t="s">
        <v>4</v>
      </c>
      <c r="C94" s="1120">
        <f>+C9</f>
        <v>45693</v>
      </c>
      <c r="D94" s="1124"/>
      <c r="F94" s="302" t="s">
        <v>5</v>
      </c>
      <c r="G94" s="303"/>
      <c r="H94" s="1121">
        <f>+H9</f>
        <v>45693</v>
      </c>
      <c r="J94" s="1341" t="s">
        <v>1675</v>
      </c>
      <c r="K94" s="1342" t="s">
        <v>1676</v>
      </c>
    </row>
    <row r="95" spans="1:19" ht="15.75" x14ac:dyDescent="0.25">
      <c r="B95" s="49"/>
      <c r="E95" s="49"/>
      <c r="F95" s="49"/>
      <c r="G95" s="49"/>
      <c r="I95" s="11" t="s">
        <v>648</v>
      </c>
      <c r="J95" s="1925" t="s">
        <v>649</v>
      </c>
      <c r="K95" s="1926"/>
      <c r="L95" s="1926"/>
      <c r="M95" s="1926"/>
      <c r="N95" s="1926"/>
      <c r="O95" s="1926"/>
      <c r="P95" s="1926"/>
      <c r="Q95" s="1926"/>
      <c r="R95" s="1926"/>
    </row>
    <row r="96" spans="1:19" s="51" customFormat="1" ht="120" x14ac:dyDescent="0.2">
      <c r="A96" s="1125" t="s">
        <v>650</v>
      </c>
      <c r="B96" s="1125" t="s">
        <v>651</v>
      </c>
      <c r="C96" s="1129" t="s">
        <v>1670</v>
      </c>
      <c r="D96" s="1129" t="s">
        <v>1672</v>
      </c>
      <c r="E96" s="1125" t="s">
        <v>652</v>
      </c>
      <c r="F96" s="1125" t="s">
        <v>653</v>
      </c>
      <c r="G96" s="1125" t="s">
        <v>673</v>
      </c>
      <c r="H96" s="1125" t="s">
        <v>1673</v>
      </c>
      <c r="I96" s="1125" t="s">
        <v>656</v>
      </c>
      <c r="J96" s="1125" t="s">
        <v>657</v>
      </c>
      <c r="K96" s="1125" t="s">
        <v>658</v>
      </c>
      <c r="L96" s="1125" t="s">
        <v>659</v>
      </c>
      <c r="M96" s="1125" t="s">
        <v>660</v>
      </c>
      <c r="N96" s="1125" t="s">
        <v>663</v>
      </c>
      <c r="O96" s="1125" t="s">
        <v>662</v>
      </c>
      <c r="P96" s="1125" t="s">
        <v>674</v>
      </c>
      <c r="Q96" s="1125" t="s">
        <v>661</v>
      </c>
      <c r="R96" s="1125" t="s">
        <v>664</v>
      </c>
      <c r="S96" s="1125" t="s">
        <v>665</v>
      </c>
    </row>
    <row r="97" spans="1:19" s="1138" customFormat="1" ht="15" x14ac:dyDescent="0.2">
      <c r="A97" s="1443"/>
      <c r="B97" s="1435"/>
      <c r="C97" s="1132"/>
      <c r="D97" s="1132"/>
      <c r="E97" s="1132">
        <f>+C97-D97</f>
        <v>0</v>
      </c>
      <c r="F97" s="1441"/>
      <c r="G97" s="1444"/>
      <c r="H97" s="1445"/>
      <c r="I97" s="1435"/>
      <c r="J97" s="1444"/>
      <c r="K97" s="1133"/>
      <c r="L97" s="1442"/>
      <c r="M97" s="1139"/>
      <c r="N97" s="1137"/>
      <c r="O97" s="1446"/>
      <c r="P97" s="1137"/>
      <c r="Q97" s="1137"/>
      <c r="R97" s="1137"/>
      <c r="S97" s="1343"/>
    </row>
    <row r="98" spans="1:19" s="1138" customFormat="1" ht="15" x14ac:dyDescent="0.2">
      <c r="A98" s="1443"/>
      <c r="B98" s="1435"/>
      <c r="C98" s="1132"/>
      <c r="D98" s="1132"/>
      <c r="E98" s="1132">
        <f t="shared" ref="E98:E159" si="4">+C98-D98</f>
        <v>0</v>
      </c>
      <c r="F98" s="1441"/>
      <c r="G98" s="1444"/>
      <c r="H98" s="1445"/>
      <c r="I98" s="1435"/>
      <c r="J98" s="1444"/>
      <c r="K98" s="1133"/>
      <c r="L98" s="1442"/>
      <c r="M98" s="1139"/>
      <c r="N98" s="1137"/>
      <c r="O98" s="1446"/>
      <c r="P98" s="1137"/>
      <c r="Q98" s="1137"/>
      <c r="R98" s="1137"/>
      <c r="S98" s="1343"/>
    </row>
    <row r="99" spans="1:19" s="1138" customFormat="1" ht="15" x14ac:dyDescent="0.2">
      <c r="A99" s="1443"/>
      <c r="B99" s="1435"/>
      <c r="C99" s="1132"/>
      <c r="D99" s="1132"/>
      <c r="E99" s="1132">
        <f t="shared" si="4"/>
        <v>0</v>
      </c>
      <c r="F99" s="1441"/>
      <c r="G99" s="1444"/>
      <c r="H99" s="1445"/>
      <c r="I99" s="1435"/>
      <c r="J99" s="1444"/>
      <c r="K99" s="1133"/>
      <c r="L99" s="1442"/>
      <c r="M99" s="1139"/>
      <c r="N99" s="1137"/>
      <c r="O99" s="1446"/>
      <c r="P99" s="1137"/>
      <c r="Q99" s="1137"/>
      <c r="R99" s="1137"/>
      <c r="S99" s="1343"/>
    </row>
    <row r="100" spans="1:19" s="1138" customFormat="1" ht="15" x14ac:dyDescent="0.2">
      <c r="A100" s="1443"/>
      <c r="B100" s="1435"/>
      <c r="C100" s="1132"/>
      <c r="D100" s="1132"/>
      <c r="E100" s="1132">
        <f t="shared" si="4"/>
        <v>0</v>
      </c>
      <c r="F100" s="1441"/>
      <c r="G100" s="1444"/>
      <c r="H100" s="1445"/>
      <c r="I100" s="1435"/>
      <c r="J100" s="1444"/>
      <c r="K100" s="1133"/>
      <c r="L100" s="1442"/>
      <c r="M100" s="1139"/>
      <c r="N100" s="1137"/>
      <c r="O100" s="1446"/>
      <c r="P100" s="1137"/>
      <c r="Q100" s="1137"/>
      <c r="R100" s="1137"/>
      <c r="S100" s="1343"/>
    </row>
    <row r="101" spans="1:19" s="1138" customFormat="1" ht="15" x14ac:dyDescent="0.2">
      <c r="A101" s="1443"/>
      <c r="B101" s="1435"/>
      <c r="C101" s="1132"/>
      <c r="D101" s="1132"/>
      <c r="E101" s="1132">
        <f t="shared" si="4"/>
        <v>0</v>
      </c>
      <c r="F101" s="1441"/>
      <c r="G101" s="1444"/>
      <c r="H101" s="1445"/>
      <c r="I101" s="1435"/>
      <c r="J101" s="1444"/>
      <c r="K101" s="1133"/>
      <c r="L101" s="1442"/>
      <c r="M101" s="1139"/>
      <c r="N101" s="1137"/>
      <c r="O101" s="1446"/>
      <c r="P101" s="1137"/>
      <c r="Q101" s="1137"/>
      <c r="R101" s="1137"/>
      <c r="S101" s="1343"/>
    </row>
    <row r="102" spans="1:19" s="1138" customFormat="1" ht="15" x14ac:dyDescent="0.2">
      <c r="A102" s="1443"/>
      <c r="B102" s="1435"/>
      <c r="C102" s="1132"/>
      <c r="D102" s="1132"/>
      <c r="E102" s="1132">
        <f t="shared" si="4"/>
        <v>0</v>
      </c>
      <c r="F102" s="1441"/>
      <c r="G102" s="1444"/>
      <c r="H102" s="1445"/>
      <c r="I102" s="1435"/>
      <c r="J102" s="1444"/>
      <c r="K102" s="1133"/>
      <c r="L102" s="1442"/>
      <c r="M102" s="1139"/>
      <c r="N102" s="1137"/>
      <c r="O102" s="1446"/>
      <c r="P102" s="1137"/>
      <c r="Q102" s="1137"/>
      <c r="R102" s="1137"/>
      <c r="S102" s="1343"/>
    </row>
    <row r="103" spans="1:19" s="1138" customFormat="1" ht="15" x14ac:dyDescent="0.2">
      <c r="A103" s="1443"/>
      <c r="B103" s="1435"/>
      <c r="C103" s="1132"/>
      <c r="D103" s="1132"/>
      <c r="E103" s="1132">
        <f t="shared" si="4"/>
        <v>0</v>
      </c>
      <c r="F103" s="1441"/>
      <c r="G103" s="1444"/>
      <c r="H103" s="1445"/>
      <c r="I103" s="1435"/>
      <c r="J103" s="1444"/>
      <c r="K103" s="1133"/>
      <c r="L103" s="1442"/>
      <c r="M103" s="1139"/>
      <c r="N103" s="1137"/>
      <c r="O103" s="1446"/>
      <c r="P103" s="1137"/>
      <c r="Q103" s="1137"/>
      <c r="R103" s="1137"/>
      <c r="S103" s="1343"/>
    </row>
    <row r="104" spans="1:19" s="1138" customFormat="1" ht="15" x14ac:dyDescent="0.2">
      <c r="A104" s="1443"/>
      <c r="B104" s="1435"/>
      <c r="C104" s="1132"/>
      <c r="D104" s="1132"/>
      <c r="E104" s="1132">
        <f t="shared" si="4"/>
        <v>0</v>
      </c>
      <c r="F104" s="1441"/>
      <c r="G104" s="1444"/>
      <c r="H104" s="1445"/>
      <c r="I104" s="1435"/>
      <c r="J104" s="1444"/>
      <c r="K104" s="1133"/>
      <c r="L104" s="1442"/>
      <c r="M104" s="1139"/>
      <c r="N104" s="1137"/>
      <c r="O104" s="1446"/>
      <c r="P104" s="1137"/>
      <c r="Q104" s="1137"/>
      <c r="R104" s="1137"/>
      <c r="S104" s="1343"/>
    </row>
    <row r="105" spans="1:19" s="1138" customFormat="1" ht="15" x14ac:dyDescent="0.2">
      <c r="A105" s="1443"/>
      <c r="B105" s="1435"/>
      <c r="C105" s="1132"/>
      <c r="D105" s="1132"/>
      <c r="E105" s="1132">
        <f t="shared" si="4"/>
        <v>0</v>
      </c>
      <c r="F105" s="1441"/>
      <c r="G105" s="1444"/>
      <c r="H105" s="1445"/>
      <c r="I105" s="1435"/>
      <c r="J105" s="1444"/>
      <c r="K105" s="1133"/>
      <c r="L105" s="1442"/>
      <c r="M105" s="1139"/>
      <c r="N105" s="1137"/>
      <c r="O105" s="1446"/>
      <c r="P105" s="1137"/>
      <c r="Q105" s="1137"/>
      <c r="R105" s="1137"/>
      <c r="S105" s="1343"/>
    </row>
    <row r="106" spans="1:19" s="1138" customFormat="1" ht="15" x14ac:dyDescent="0.2">
      <c r="A106" s="1443"/>
      <c r="B106" s="1435"/>
      <c r="C106" s="1132"/>
      <c r="D106" s="1132"/>
      <c r="E106" s="1132">
        <f t="shared" si="4"/>
        <v>0</v>
      </c>
      <c r="F106" s="1441"/>
      <c r="G106" s="1444"/>
      <c r="H106" s="1445"/>
      <c r="I106" s="1435"/>
      <c r="J106" s="1444"/>
      <c r="K106" s="1133"/>
      <c r="L106" s="1442"/>
      <c r="M106" s="1139"/>
      <c r="N106" s="1137"/>
      <c r="O106" s="1446"/>
      <c r="P106" s="1137"/>
      <c r="Q106" s="1137"/>
      <c r="R106" s="1137"/>
      <c r="S106" s="1343"/>
    </row>
    <row r="107" spans="1:19" s="1138" customFormat="1" ht="15" x14ac:dyDescent="0.2">
      <c r="A107" s="1443"/>
      <c r="B107" s="1435"/>
      <c r="C107" s="1132"/>
      <c r="D107" s="1132"/>
      <c r="E107" s="1132">
        <f t="shared" si="4"/>
        <v>0</v>
      </c>
      <c r="F107" s="1441"/>
      <c r="G107" s="1444"/>
      <c r="H107" s="1445"/>
      <c r="I107" s="1435"/>
      <c r="J107" s="1444"/>
      <c r="K107" s="1133"/>
      <c r="L107" s="1442"/>
      <c r="M107" s="1139"/>
      <c r="N107" s="1137"/>
      <c r="O107" s="1446"/>
      <c r="P107" s="1137"/>
      <c r="Q107" s="1137"/>
      <c r="R107" s="1137"/>
      <c r="S107" s="1343"/>
    </row>
    <row r="108" spans="1:19" s="1138" customFormat="1" ht="15" x14ac:dyDescent="0.2">
      <c r="A108" s="1443"/>
      <c r="B108" s="1435"/>
      <c r="C108" s="1132"/>
      <c r="D108" s="1132"/>
      <c r="E108" s="1132">
        <f t="shared" si="4"/>
        <v>0</v>
      </c>
      <c r="F108" s="1441"/>
      <c r="G108" s="1444"/>
      <c r="H108" s="1445"/>
      <c r="I108" s="1435"/>
      <c r="J108" s="1444"/>
      <c r="K108" s="1133"/>
      <c r="L108" s="1442"/>
      <c r="M108" s="1139"/>
      <c r="N108" s="1137"/>
      <c r="O108" s="1446"/>
      <c r="P108" s="1137"/>
      <c r="Q108" s="1137"/>
      <c r="R108" s="1137"/>
      <c r="S108" s="1343"/>
    </row>
    <row r="109" spans="1:19" s="1138" customFormat="1" ht="15" x14ac:dyDescent="0.2">
      <c r="A109" s="1443"/>
      <c r="B109" s="1435"/>
      <c r="C109" s="1132"/>
      <c r="D109" s="1132"/>
      <c r="E109" s="1132">
        <f t="shared" si="4"/>
        <v>0</v>
      </c>
      <c r="F109" s="1441"/>
      <c r="G109" s="1444"/>
      <c r="H109" s="1445"/>
      <c r="I109" s="1435"/>
      <c r="J109" s="1444"/>
      <c r="K109" s="1133"/>
      <c r="L109" s="1442"/>
      <c r="M109" s="1139"/>
      <c r="N109" s="1137"/>
      <c r="O109" s="1446"/>
      <c r="P109" s="1137"/>
      <c r="Q109" s="1137"/>
      <c r="R109" s="1137"/>
      <c r="S109" s="1343"/>
    </row>
    <row r="110" spans="1:19" s="1138" customFormat="1" ht="15" x14ac:dyDescent="0.2">
      <c r="A110" s="1443"/>
      <c r="B110" s="1435"/>
      <c r="C110" s="1132"/>
      <c r="D110" s="1132"/>
      <c r="E110" s="1132">
        <f t="shared" si="4"/>
        <v>0</v>
      </c>
      <c r="F110" s="1441"/>
      <c r="G110" s="1444"/>
      <c r="H110" s="1445"/>
      <c r="I110" s="1435"/>
      <c r="J110" s="1444"/>
      <c r="K110" s="1133"/>
      <c r="L110" s="1442"/>
      <c r="M110" s="1139"/>
      <c r="N110" s="1137"/>
      <c r="O110" s="1446"/>
      <c r="P110" s="1137"/>
      <c r="Q110" s="1137"/>
      <c r="R110" s="1137"/>
      <c r="S110" s="1343"/>
    </row>
    <row r="111" spans="1:19" s="1138" customFormat="1" ht="15" x14ac:dyDescent="0.2">
      <c r="A111" s="1443"/>
      <c r="B111" s="1435"/>
      <c r="C111" s="1132"/>
      <c r="D111" s="1132"/>
      <c r="E111" s="1132">
        <f t="shared" si="4"/>
        <v>0</v>
      </c>
      <c r="F111" s="1441"/>
      <c r="G111" s="1444"/>
      <c r="H111" s="1445"/>
      <c r="I111" s="1435"/>
      <c r="J111" s="1444"/>
      <c r="K111" s="1133"/>
      <c r="L111" s="1442"/>
      <c r="M111" s="1139"/>
      <c r="N111" s="1137"/>
      <c r="O111" s="1446"/>
      <c r="P111" s="1137"/>
      <c r="Q111" s="1137"/>
      <c r="R111" s="1137"/>
      <c r="S111" s="1343"/>
    </row>
    <row r="112" spans="1:19" s="1138" customFormat="1" ht="15" x14ac:dyDescent="0.2">
      <c r="A112" s="1443"/>
      <c r="B112" s="1435"/>
      <c r="C112" s="1132"/>
      <c r="D112" s="1132"/>
      <c r="E112" s="1132">
        <f t="shared" si="4"/>
        <v>0</v>
      </c>
      <c r="F112" s="1441"/>
      <c r="G112" s="1444"/>
      <c r="H112" s="1445"/>
      <c r="I112" s="1435"/>
      <c r="J112" s="1444"/>
      <c r="K112" s="1133"/>
      <c r="L112" s="1442"/>
      <c r="M112" s="1139"/>
      <c r="N112" s="1137"/>
      <c r="O112" s="1446"/>
      <c r="P112" s="1137"/>
      <c r="Q112" s="1137"/>
      <c r="R112" s="1137"/>
      <c r="S112" s="1343"/>
    </row>
    <row r="113" spans="1:19" s="1138" customFormat="1" ht="15" x14ac:dyDescent="0.2">
      <c r="A113" s="1443"/>
      <c r="B113" s="1435"/>
      <c r="C113" s="1132"/>
      <c r="D113" s="1132"/>
      <c r="E113" s="1132">
        <f t="shared" si="4"/>
        <v>0</v>
      </c>
      <c r="F113" s="1441"/>
      <c r="G113" s="1444"/>
      <c r="H113" s="1445"/>
      <c r="I113" s="1435"/>
      <c r="J113" s="1444"/>
      <c r="K113" s="1133"/>
      <c r="L113" s="1442"/>
      <c r="M113" s="1139"/>
      <c r="N113" s="1137"/>
      <c r="O113" s="1446"/>
      <c r="P113" s="1137"/>
      <c r="Q113" s="1137"/>
      <c r="R113" s="1137"/>
      <c r="S113" s="1343"/>
    </row>
    <row r="114" spans="1:19" s="1138" customFormat="1" ht="15" x14ac:dyDescent="0.2">
      <c r="A114" s="1443"/>
      <c r="B114" s="1435"/>
      <c r="C114" s="1132"/>
      <c r="D114" s="1132"/>
      <c r="E114" s="1132">
        <f t="shared" si="4"/>
        <v>0</v>
      </c>
      <c r="F114" s="1441"/>
      <c r="G114" s="1444"/>
      <c r="H114" s="1445"/>
      <c r="I114" s="1435"/>
      <c r="J114" s="1444"/>
      <c r="K114" s="1133"/>
      <c r="L114" s="1442"/>
      <c r="M114" s="1139"/>
      <c r="N114" s="1137"/>
      <c r="O114" s="1446"/>
      <c r="P114" s="1137"/>
      <c r="Q114" s="1137"/>
      <c r="R114" s="1137"/>
      <c r="S114" s="1343"/>
    </row>
    <row r="115" spans="1:19" s="1138" customFormat="1" ht="15" x14ac:dyDescent="0.2">
      <c r="A115" s="1443"/>
      <c r="B115" s="1435"/>
      <c r="C115" s="1132"/>
      <c r="D115" s="1132"/>
      <c r="E115" s="1132">
        <f t="shared" si="4"/>
        <v>0</v>
      </c>
      <c r="F115" s="1441"/>
      <c r="G115" s="1444"/>
      <c r="H115" s="1445"/>
      <c r="I115" s="1435"/>
      <c r="J115" s="1444"/>
      <c r="K115" s="1133"/>
      <c r="L115" s="1442"/>
      <c r="M115" s="1139"/>
      <c r="N115" s="1137"/>
      <c r="O115" s="1446"/>
      <c r="P115" s="1137"/>
      <c r="Q115" s="1137"/>
      <c r="R115" s="1137"/>
      <c r="S115" s="1343"/>
    </row>
    <row r="116" spans="1:19" s="1138" customFormat="1" ht="15" x14ac:dyDescent="0.2">
      <c r="A116" s="1443"/>
      <c r="B116" s="1435"/>
      <c r="C116" s="1132"/>
      <c r="D116" s="1132"/>
      <c r="E116" s="1132">
        <f t="shared" si="4"/>
        <v>0</v>
      </c>
      <c r="F116" s="1441"/>
      <c r="G116" s="1444"/>
      <c r="H116" s="1445"/>
      <c r="I116" s="1435"/>
      <c r="J116" s="1444"/>
      <c r="K116" s="1133"/>
      <c r="L116" s="1442"/>
      <c r="M116" s="1139"/>
      <c r="N116" s="1137"/>
      <c r="O116" s="1446"/>
      <c r="P116" s="1137"/>
      <c r="Q116" s="1137"/>
      <c r="R116" s="1137"/>
      <c r="S116" s="1343"/>
    </row>
    <row r="117" spans="1:19" s="1138" customFormat="1" ht="15" x14ac:dyDescent="0.2">
      <c r="A117" s="1443"/>
      <c r="B117" s="1435"/>
      <c r="C117" s="1132"/>
      <c r="D117" s="1132"/>
      <c r="E117" s="1132">
        <f t="shared" si="4"/>
        <v>0</v>
      </c>
      <c r="F117" s="1441"/>
      <c r="G117" s="1444"/>
      <c r="H117" s="1445"/>
      <c r="I117" s="1435"/>
      <c r="J117" s="1444"/>
      <c r="K117" s="1133"/>
      <c r="L117" s="1442"/>
      <c r="M117" s="1139"/>
      <c r="N117" s="1137"/>
      <c r="O117" s="1446"/>
      <c r="P117" s="1137"/>
      <c r="Q117" s="1137"/>
      <c r="R117" s="1137"/>
      <c r="S117" s="1343"/>
    </row>
    <row r="118" spans="1:19" s="1138" customFormat="1" ht="15" x14ac:dyDescent="0.2">
      <c r="A118" s="1443"/>
      <c r="B118" s="1435"/>
      <c r="C118" s="1132"/>
      <c r="D118" s="1132"/>
      <c r="E118" s="1132">
        <f t="shared" si="4"/>
        <v>0</v>
      </c>
      <c r="F118" s="1441"/>
      <c r="G118" s="1444"/>
      <c r="H118" s="1445"/>
      <c r="I118" s="1435"/>
      <c r="J118" s="1444"/>
      <c r="K118" s="1133"/>
      <c r="L118" s="1442"/>
      <c r="M118" s="1139"/>
      <c r="N118" s="1137"/>
      <c r="O118" s="1446"/>
      <c r="P118" s="1137"/>
      <c r="Q118" s="1137"/>
      <c r="R118" s="1137"/>
      <c r="S118" s="1343"/>
    </row>
    <row r="119" spans="1:19" s="1138" customFormat="1" ht="15" x14ac:dyDescent="0.2">
      <c r="A119" s="1443"/>
      <c r="B119" s="1435"/>
      <c r="C119" s="1132"/>
      <c r="D119" s="1132"/>
      <c r="E119" s="1132">
        <f t="shared" si="4"/>
        <v>0</v>
      </c>
      <c r="F119" s="1441"/>
      <c r="G119" s="1446"/>
      <c r="H119" s="1445"/>
      <c r="I119" s="1435"/>
      <c r="J119" s="1444"/>
      <c r="K119" s="1133"/>
      <c r="L119" s="1442"/>
      <c r="M119" s="1139"/>
      <c r="N119" s="1137"/>
      <c r="O119" s="1446"/>
      <c r="P119" s="1137"/>
      <c r="Q119" s="1137"/>
      <c r="R119" s="1137"/>
      <c r="S119" s="1343"/>
    </row>
    <row r="120" spans="1:19" s="1138" customFormat="1" ht="15" x14ac:dyDescent="0.2">
      <c r="A120" s="1443"/>
      <c r="B120" s="1435"/>
      <c r="C120" s="1132"/>
      <c r="D120" s="1132"/>
      <c r="E120" s="1132">
        <f t="shared" si="4"/>
        <v>0</v>
      </c>
      <c r="F120" s="1441"/>
      <c r="G120" s="1446"/>
      <c r="H120" s="1445"/>
      <c r="I120" s="1435"/>
      <c r="J120" s="1444"/>
      <c r="K120" s="1133"/>
      <c r="L120" s="1442"/>
      <c r="M120" s="1139"/>
      <c r="N120" s="1137"/>
      <c r="O120" s="1446"/>
      <c r="P120" s="1137"/>
      <c r="Q120" s="1137"/>
      <c r="R120" s="1137"/>
      <c r="S120" s="1343"/>
    </row>
    <row r="121" spans="1:19" s="1138" customFormat="1" ht="15" x14ac:dyDescent="0.2">
      <c r="A121" s="1443"/>
      <c r="B121" s="1435"/>
      <c r="C121" s="1132"/>
      <c r="D121" s="1132"/>
      <c r="E121" s="1132">
        <f t="shared" si="4"/>
        <v>0</v>
      </c>
      <c r="F121" s="1441"/>
      <c r="G121" s="1446"/>
      <c r="H121" s="1445"/>
      <c r="I121" s="1435"/>
      <c r="J121" s="1444"/>
      <c r="K121" s="1133"/>
      <c r="L121" s="1442"/>
      <c r="M121" s="1139"/>
      <c r="N121" s="1137"/>
      <c r="O121" s="1446"/>
      <c r="P121" s="1137"/>
      <c r="Q121" s="1137"/>
      <c r="R121" s="1137"/>
      <c r="S121" s="1343"/>
    </row>
    <row r="122" spans="1:19" s="1138" customFormat="1" ht="15" x14ac:dyDescent="0.2">
      <c r="A122" s="1443"/>
      <c r="B122" s="1435"/>
      <c r="C122" s="1132"/>
      <c r="D122" s="1132"/>
      <c r="E122" s="1132">
        <f t="shared" si="4"/>
        <v>0</v>
      </c>
      <c r="F122" s="1441"/>
      <c r="G122" s="1446"/>
      <c r="H122" s="1445"/>
      <c r="I122" s="1435"/>
      <c r="J122" s="1444"/>
      <c r="K122" s="1133"/>
      <c r="L122" s="1442"/>
      <c r="M122" s="1139"/>
      <c r="N122" s="1137"/>
      <c r="O122" s="1446"/>
      <c r="P122" s="1137"/>
      <c r="Q122" s="1137"/>
      <c r="R122" s="1137"/>
      <c r="S122" s="1343"/>
    </row>
    <row r="123" spans="1:19" s="1138" customFormat="1" ht="15" x14ac:dyDescent="0.2">
      <c r="A123" s="1443"/>
      <c r="B123" s="1435"/>
      <c r="C123" s="1132"/>
      <c r="D123" s="1132"/>
      <c r="E123" s="1132">
        <f t="shared" si="4"/>
        <v>0</v>
      </c>
      <c r="F123" s="1441"/>
      <c r="G123" s="1446"/>
      <c r="H123" s="1445"/>
      <c r="I123" s="1435"/>
      <c r="J123" s="1444"/>
      <c r="K123" s="1133"/>
      <c r="L123" s="1442"/>
      <c r="M123" s="1139"/>
      <c r="N123" s="1137"/>
      <c r="O123" s="1446"/>
      <c r="P123" s="1137"/>
      <c r="Q123" s="1137"/>
      <c r="R123" s="1137"/>
      <c r="S123" s="1343"/>
    </row>
    <row r="124" spans="1:19" s="1138" customFormat="1" ht="15" x14ac:dyDescent="0.2">
      <c r="A124" s="1443"/>
      <c r="B124" s="1435"/>
      <c r="C124" s="1132"/>
      <c r="D124" s="1132"/>
      <c r="E124" s="1132">
        <f t="shared" si="4"/>
        <v>0</v>
      </c>
      <c r="F124" s="1441"/>
      <c r="G124" s="1446"/>
      <c r="H124" s="1445"/>
      <c r="I124" s="1435"/>
      <c r="J124" s="1444"/>
      <c r="K124" s="1133"/>
      <c r="L124" s="1442"/>
      <c r="M124" s="1139"/>
      <c r="N124" s="1137"/>
      <c r="O124" s="1446"/>
      <c r="P124" s="1137"/>
      <c r="Q124" s="1137"/>
      <c r="R124" s="1137"/>
      <c r="S124" s="1343"/>
    </row>
    <row r="125" spans="1:19" s="1138" customFormat="1" ht="15" x14ac:dyDescent="0.2">
      <c r="A125" s="1443"/>
      <c r="B125" s="1435"/>
      <c r="C125" s="1132"/>
      <c r="D125" s="1132"/>
      <c r="E125" s="1132">
        <f t="shared" si="4"/>
        <v>0</v>
      </c>
      <c r="F125" s="1441"/>
      <c r="G125" s="1446"/>
      <c r="H125" s="1445"/>
      <c r="I125" s="1435"/>
      <c r="J125" s="1444"/>
      <c r="K125" s="1133"/>
      <c r="L125" s="1442"/>
      <c r="M125" s="1139"/>
      <c r="N125" s="1137"/>
      <c r="O125" s="1446"/>
      <c r="P125" s="1137"/>
      <c r="Q125" s="1137"/>
      <c r="R125" s="1137"/>
      <c r="S125" s="1343"/>
    </row>
    <row r="126" spans="1:19" s="1138" customFormat="1" ht="15" x14ac:dyDescent="0.2">
      <c r="A126" s="1443"/>
      <c r="B126" s="1435"/>
      <c r="C126" s="1132"/>
      <c r="D126" s="1132"/>
      <c r="E126" s="1132">
        <f t="shared" si="4"/>
        <v>0</v>
      </c>
      <c r="F126" s="1441"/>
      <c r="G126" s="1446"/>
      <c r="H126" s="1445"/>
      <c r="I126" s="1435"/>
      <c r="J126" s="1444"/>
      <c r="K126" s="1133"/>
      <c r="L126" s="1442"/>
      <c r="M126" s="1139"/>
      <c r="N126" s="1137"/>
      <c r="O126" s="1446"/>
      <c r="P126" s="1137"/>
      <c r="Q126" s="1137"/>
      <c r="R126" s="1137"/>
      <c r="S126" s="1343"/>
    </row>
    <row r="127" spans="1:19" s="1138" customFormat="1" ht="15" x14ac:dyDescent="0.2">
      <c r="A127" s="1443"/>
      <c r="B127" s="1435"/>
      <c r="C127" s="1132"/>
      <c r="D127" s="1132"/>
      <c r="E127" s="1132">
        <f t="shared" si="4"/>
        <v>0</v>
      </c>
      <c r="F127" s="1441"/>
      <c r="G127" s="1446"/>
      <c r="H127" s="1445"/>
      <c r="I127" s="1435"/>
      <c r="J127" s="1444"/>
      <c r="K127" s="1133"/>
      <c r="L127" s="1442"/>
      <c r="M127" s="1139"/>
      <c r="N127" s="1137"/>
      <c r="O127" s="1446"/>
      <c r="P127" s="1137"/>
      <c r="Q127" s="1137"/>
      <c r="R127" s="1137"/>
      <c r="S127" s="1343"/>
    </row>
    <row r="128" spans="1:19" s="1138" customFormat="1" ht="15" x14ac:dyDescent="0.2">
      <c r="A128" s="1443"/>
      <c r="B128" s="1435"/>
      <c r="C128" s="1132"/>
      <c r="D128" s="1132"/>
      <c r="E128" s="1132">
        <f t="shared" si="4"/>
        <v>0</v>
      </c>
      <c r="F128" s="1441"/>
      <c r="G128" s="1446"/>
      <c r="H128" s="1445"/>
      <c r="I128" s="1435"/>
      <c r="J128" s="1444"/>
      <c r="K128" s="1133"/>
      <c r="L128" s="1442"/>
      <c r="M128" s="1139"/>
      <c r="N128" s="1137"/>
      <c r="O128" s="1446"/>
      <c r="P128" s="1137"/>
      <c r="Q128" s="1137"/>
      <c r="R128" s="1137"/>
      <c r="S128" s="1343"/>
    </row>
    <row r="129" spans="1:19" s="1138" customFormat="1" ht="15" x14ac:dyDescent="0.2">
      <c r="A129" s="1443"/>
      <c r="B129" s="1435"/>
      <c r="C129" s="1132"/>
      <c r="D129" s="1132"/>
      <c r="E129" s="1132">
        <f t="shared" si="4"/>
        <v>0</v>
      </c>
      <c r="F129" s="1441"/>
      <c r="G129" s="1446"/>
      <c r="H129" s="1445"/>
      <c r="I129" s="1435"/>
      <c r="J129" s="1444"/>
      <c r="K129" s="1133"/>
      <c r="L129" s="1442"/>
      <c r="M129" s="1139"/>
      <c r="N129" s="1137"/>
      <c r="O129" s="1446"/>
      <c r="P129" s="1137"/>
      <c r="Q129" s="1137"/>
      <c r="R129" s="1137"/>
      <c r="S129" s="1343"/>
    </row>
    <row r="130" spans="1:19" s="1138" customFormat="1" ht="15" x14ac:dyDescent="0.2">
      <c r="A130" s="1443"/>
      <c r="B130" s="1435"/>
      <c r="C130" s="1132"/>
      <c r="D130" s="1132"/>
      <c r="E130" s="1132">
        <f t="shared" si="4"/>
        <v>0</v>
      </c>
      <c r="F130" s="1441"/>
      <c r="G130" s="1446"/>
      <c r="H130" s="1445"/>
      <c r="I130" s="1435"/>
      <c r="J130" s="1444"/>
      <c r="K130" s="1133"/>
      <c r="L130" s="1442"/>
      <c r="M130" s="1139"/>
      <c r="N130" s="1137"/>
      <c r="O130" s="1446"/>
      <c r="P130" s="1137"/>
      <c r="Q130" s="1137"/>
      <c r="R130" s="1137"/>
      <c r="S130" s="1343"/>
    </row>
    <row r="131" spans="1:19" s="1138" customFormat="1" ht="15" x14ac:dyDescent="0.2">
      <c r="A131" s="1443"/>
      <c r="B131" s="1435"/>
      <c r="C131" s="1132"/>
      <c r="D131" s="1132"/>
      <c r="E131" s="1132">
        <f t="shared" si="4"/>
        <v>0</v>
      </c>
      <c r="F131" s="1441"/>
      <c r="G131" s="1446"/>
      <c r="H131" s="1445"/>
      <c r="I131" s="1435"/>
      <c r="J131" s="1444"/>
      <c r="K131" s="1133"/>
      <c r="L131" s="1442"/>
      <c r="M131" s="1139"/>
      <c r="N131" s="1137"/>
      <c r="O131" s="1446"/>
      <c r="P131" s="1137"/>
      <c r="Q131" s="1137"/>
      <c r="R131" s="1137"/>
      <c r="S131" s="1343"/>
    </row>
    <row r="132" spans="1:19" s="1138" customFormat="1" ht="15" x14ac:dyDescent="0.2">
      <c r="A132" s="1443"/>
      <c r="B132" s="1435"/>
      <c r="C132" s="1132"/>
      <c r="D132" s="1132"/>
      <c r="E132" s="1132">
        <f t="shared" si="4"/>
        <v>0</v>
      </c>
      <c r="F132" s="1441"/>
      <c r="G132" s="1446"/>
      <c r="H132" s="1445"/>
      <c r="I132" s="1435"/>
      <c r="J132" s="1444"/>
      <c r="K132" s="1133"/>
      <c r="L132" s="1442"/>
      <c r="M132" s="1139"/>
      <c r="N132" s="1137"/>
      <c r="O132" s="1446"/>
      <c r="P132" s="1137"/>
      <c r="Q132" s="1137"/>
      <c r="R132" s="1137"/>
      <c r="S132" s="1343"/>
    </row>
    <row r="133" spans="1:19" s="1138" customFormat="1" ht="15" x14ac:dyDescent="0.2">
      <c r="A133" s="1443"/>
      <c r="B133" s="1435"/>
      <c r="C133" s="1132"/>
      <c r="D133" s="1132"/>
      <c r="E133" s="1132">
        <f t="shared" si="4"/>
        <v>0</v>
      </c>
      <c r="F133" s="1441"/>
      <c r="G133" s="1446"/>
      <c r="H133" s="1445"/>
      <c r="I133" s="1435"/>
      <c r="J133" s="1444"/>
      <c r="K133" s="1133"/>
      <c r="L133" s="1442"/>
      <c r="M133" s="1139"/>
      <c r="N133" s="1137"/>
      <c r="O133" s="1446"/>
      <c r="P133" s="1137"/>
      <c r="Q133" s="1137"/>
      <c r="R133" s="1137"/>
      <c r="S133" s="1343"/>
    </row>
    <row r="134" spans="1:19" s="1138" customFormat="1" ht="15" x14ac:dyDescent="0.2">
      <c r="A134" s="1443"/>
      <c r="B134" s="1435"/>
      <c r="C134" s="1132"/>
      <c r="D134" s="1132"/>
      <c r="E134" s="1132">
        <f t="shared" si="4"/>
        <v>0</v>
      </c>
      <c r="F134" s="1441"/>
      <c r="G134" s="1446"/>
      <c r="H134" s="1445"/>
      <c r="I134" s="1435"/>
      <c r="J134" s="1444"/>
      <c r="K134" s="1133"/>
      <c r="L134" s="1442"/>
      <c r="M134" s="1139"/>
      <c r="N134" s="1137"/>
      <c r="O134" s="1446"/>
      <c r="P134" s="1137"/>
      <c r="Q134" s="1137"/>
      <c r="R134" s="1137"/>
      <c r="S134" s="1343"/>
    </row>
    <row r="135" spans="1:19" s="1138" customFormat="1" ht="15" x14ac:dyDescent="0.2">
      <c r="A135" s="1443"/>
      <c r="B135" s="1435"/>
      <c r="C135" s="1132"/>
      <c r="D135" s="1132"/>
      <c r="E135" s="1132">
        <f t="shared" si="4"/>
        <v>0</v>
      </c>
      <c r="F135" s="1441"/>
      <c r="G135" s="1446"/>
      <c r="H135" s="1445"/>
      <c r="I135" s="1435"/>
      <c r="J135" s="1444"/>
      <c r="K135" s="1133"/>
      <c r="L135" s="1442"/>
      <c r="M135" s="1139"/>
      <c r="N135" s="1137"/>
      <c r="O135" s="1446"/>
      <c r="P135" s="1137"/>
      <c r="Q135" s="1137"/>
      <c r="R135" s="1137"/>
      <c r="S135" s="1343"/>
    </row>
    <row r="136" spans="1:19" s="1138" customFormat="1" ht="15" x14ac:dyDescent="0.2">
      <c r="A136" s="1443"/>
      <c r="B136" s="1435"/>
      <c r="C136" s="1132"/>
      <c r="D136" s="1132"/>
      <c r="E136" s="1132">
        <f t="shared" si="4"/>
        <v>0</v>
      </c>
      <c r="F136" s="1441"/>
      <c r="G136" s="1446"/>
      <c r="H136" s="1445"/>
      <c r="I136" s="1435"/>
      <c r="J136" s="1444"/>
      <c r="K136" s="1133"/>
      <c r="L136" s="1442"/>
      <c r="M136" s="1139"/>
      <c r="N136" s="1137"/>
      <c r="O136" s="1446"/>
      <c r="P136" s="1137"/>
      <c r="Q136" s="1137"/>
      <c r="R136" s="1137"/>
      <c r="S136" s="1343"/>
    </row>
    <row r="137" spans="1:19" s="1138" customFormat="1" ht="15" x14ac:dyDescent="0.2">
      <c r="A137" s="1443"/>
      <c r="B137" s="1435"/>
      <c r="C137" s="1132"/>
      <c r="D137" s="1132"/>
      <c r="E137" s="1132">
        <f t="shared" si="4"/>
        <v>0</v>
      </c>
      <c r="F137" s="1441"/>
      <c r="G137" s="1446"/>
      <c r="H137" s="1445"/>
      <c r="I137" s="1435"/>
      <c r="J137" s="1444"/>
      <c r="K137" s="1133"/>
      <c r="L137" s="1442"/>
      <c r="M137" s="1139"/>
      <c r="N137" s="1137"/>
      <c r="O137" s="1446"/>
      <c r="P137" s="1137"/>
      <c r="Q137" s="1137"/>
      <c r="R137" s="1137"/>
      <c r="S137" s="1343"/>
    </row>
    <row r="138" spans="1:19" s="1138" customFormat="1" ht="15" x14ac:dyDescent="0.2">
      <c r="A138" s="1443"/>
      <c r="B138" s="1435"/>
      <c r="C138" s="1132"/>
      <c r="D138" s="1132"/>
      <c r="E138" s="1132">
        <f t="shared" si="4"/>
        <v>0</v>
      </c>
      <c r="F138" s="1441"/>
      <c r="G138" s="1446"/>
      <c r="H138" s="1445"/>
      <c r="I138" s="1435"/>
      <c r="J138" s="1444"/>
      <c r="K138" s="1133"/>
      <c r="L138" s="1442"/>
      <c r="M138" s="1139"/>
      <c r="N138" s="1137"/>
      <c r="O138" s="1446"/>
      <c r="P138" s="1137"/>
      <c r="Q138" s="1137"/>
      <c r="R138" s="1137"/>
      <c r="S138" s="1343"/>
    </row>
    <row r="139" spans="1:19" s="1138" customFormat="1" ht="15" x14ac:dyDescent="0.2">
      <c r="A139" s="1443"/>
      <c r="B139" s="1435"/>
      <c r="C139" s="1132"/>
      <c r="D139" s="1132"/>
      <c r="E139" s="1132">
        <f t="shared" si="4"/>
        <v>0</v>
      </c>
      <c r="F139" s="1441"/>
      <c r="G139" s="1446"/>
      <c r="H139" s="1445"/>
      <c r="I139" s="1435"/>
      <c r="J139" s="1444"/>
      <c r="K139" s="1133"/>
      <c r="L139" s="1442"/>
      <c r="M139" s="1139"/>
      <c r="N139" s="1137"/>
      <c r="O139" s="1446"/>
      <c r="P139" s="1137"/>
      <c r="Q139" s="1137"/>
      <c r="R139" s="1137"/>
      <c r="S139" s="1343"/>
    </row>
    <row r="140" spans="1:19" s="1138" customFormat="1" ht="15" x14ac:dyDescent="0.2">
      <c r="A140" s="1443"/>
      <c r="B140" s="1435"/>
      <c r="C140" s="1132"/>
      <c r="D140" s="1132"/>
      <c r="E140" s="1132">
        <f t="shared" si="4"/>
        <v>0</v>
      </c>
      <c r="F140" s="1441"/>
      <c r="G140" s="1444"/>
      <c r="H140" s="1445"/>
      <c r="I140" s="1435"/>
      <c r="J140" s="1444"/>
      <c r="K140" s="1133"/>
      <c r="L140" s="1442"/>
      <c r="M140" s="1139"/>
      <c r="N140" s="1137"/>
      <c r="O140" s="1446"/>
      <c r="P140" s="1137"/>
      <c r="Q140" s="1137"/>
      <c r="R140" s="1137"/>
      <c r="S140" s="1343"/>
    </row>
    <row r="141" spans="1:19" s="1138" customFormat="1" ht="15" x14ac:dyDescent="0.2">
      <c r="A141" s="1443"/>
      <c r="B141" s="1435"/>
      <c r="C141" s="1132"/>
      <c r="D141" s="1132"/>
      <c r="E141" s="1132">
        <f t="shared" si="4"/>
        <v>0</v>
      </c>
      <c r="F141" s="1441"/>
      <c r="G141" s="1444"/>
      <c r="H141" s="1445"/>
      <c r="I141" s="1435"/>
      <c r="J141" s="1133"/>
      <c r="K141" s="1442"/>
      <c r="L141" s="1139"/>
      <c r="M141" s="1139"/>
      <c r="N141" s="1446"/>
      <c r="O141" s="1139"/>
      <c r="P141" s="1137"/>
      <c r="Q141" s="1446"/>
      <c r="R141" s="1137"/>
      <c r="S141" s="1343"/>
    </row>
    <row r="142" spans="1:19" s="1138" customFormat="1" ht="15" x14ac:dyDescent="0.2">
      <c r="A142" s="1443"/>
      <c r="B142" s="1435"/>
      <c r="C142" s="1132"/>
      <c r="D142" s="1132"/>
      <c r="E142" s="1132">
        <f t="shared" si="4"/>
        <v>0</v>
      </c>
      <c r="F142" s="1441"/>
      <c r="G142" s="1444"/>
      <c r="H142" s="1445"/>
      <c r="I142" s="1435"/>
      <c r="J142" s="1133"/>
      <c r="K142" s="1442"/>
      <c r="L142" s="1139"/>
      <c r="M142" s="1139"/>
      <c r="N142" s="1137"/>
      <c r="O142" s="1139"/>
      <c r="P142" s="1137"/>
      <c r="Q142" s="1137"/>
      <c r="R142" s="1137"/>
      <c r="S142" s="1343"/>
    </row>
    <row r="143" spans="1:19" s="1138" customFormat="1" ht="15" x14ac:dyDescent="0.2">
      <c r="A143" s="1443"/>
      <c r="B143" s="1435"/>
      <c r="C143" s="1132"/>
      <c r="D143" s="1132"/>
      <c r="E143" s="1132">
        <f t="shared" si="4"/>
        <v>0</v>
      </c>
      <c r="F143" s="1441"/>
      <c r="G143" s="1444"/>
      <c r="H143" s="1445"/>
      <c r="I143" s="1435"/>
      <c r="J143" s="1133"/>
      <c r="K143" s="1442"/>
      <c r="L143" s="1139"/>
      <c r="M143" s="1139"/>
      <c r="N143" s="1446"/>
      <c r="O143" s="1139"/>
      <c r="P143" s="1137"/>
      <c r="Q143" s="1446"/>
      <c r="R143" s="1137"/>
      <c r="S143" s="1343"/>
    </row>
    <row r="144" spans="1:19" s="1138" customFormat="1" ht="15" x14ac:dyDescent="0.2">
      <c r="A144" s="1443"/>
      <c r="B144" s="1435"/>
      <c r="C144" s="1132"/>
      <c r="D144" s="1132"/>
      <c r="E144" s="1132">
        <f t="shared" si="4"/>
        <v>0</v>
      </c>
      <c r="F144" s="1441"/>
      <c r="G144" s="1444"/>
      <c r="H144" s="1445"/>
      <c r="I144" s="1435"/>
      <c r="J144" s="1133"/>
      <c r="K144" s="1442"/>
      <c r="L144" s="1139"/>
      <c r="M144" s="1139"/>
      <c r="N144" s="1137"/>
      <c r="O144" s="1446"/>
      <c r="P144" s="1137"/>
      <c r="Q144" s="1137"/>
      <c r="R144" s="1137"/>
      <c r="S144" s="1343"/>
    </row>
    <row r="145" spans="1:19" s="1138" customFormat="1" ht="15" x14ac:dyDescent="0.2">
      <c r="A145" s="1443"/>
      <c r="B145" s="1435"/>
      <c r="C145" s="1132"/>
      <c r="D145" s="1132"/>
      <c r="E145" s="1132">
        <f t="shared" si="4"/>
        <v>0</v>
      </c>
      <c r="F145" s="1441"/>
      <c r="G145" s="1444"/>
      <c r="H145" s="1445"/>
      <c r="I145" s="1435"/>
      <c r="J145" s="1133"/>
      <c r="K145" s="1442"/>
      <c r="L145" s="1139"/>
      <c r="M145" s="1139"/>
      <c r="N145" s="1137"/>
      <c r="O145" s="1139"/>
      <c r="P145" s="1137"/>
      <c r="Q145" s="1137"/>
      <c r="R145" s="1137"/>
      <c r="S145" s="1343"/>
    </row>
    <row r="146" spans="1:19" s="1138" customFormat="1" ht="15" x14ac:dyDescent="0.2">
      <c r="A146" s="1443"/>
      <c r="B146" s="1435"/>
      <c r="C146" s="1132"/>
      <c r="D146" s="1132"/>
      <c r="E146" s="1132">
        <f t="shared" si="4"/>
        <v>0</v>
      </c>
      <c r="F146" s="1441"/>
      <c r="G146" s="1444"/>
      <c r="H146" s="1445"/>
      <c r="I146" s="1435"/>
      <c r="J146" s="1133"/>
      <c r="K146" s="1442"/>
      <c r="L146" s="1139"/>
      <c r="M146" s="1139"/>
      <c r="N146" s="1137"/>
      <c r="O146" s="1139"/>
      <c r="P146" s="1137"/>
      <c r="Q146" s="1137"/>
      <c r="R146" s="1137"/>
      <c r="S146" s="1343"/>
    </row>
    <row r="147" spans="1:19" s="1138" customFormat="1" ht="15" x14ac:dyDescent="0.2">
      <c r="A147" s="1443"/>
      <c r="B147" s="1435"/>
      <c r="C147" s="1132"/>
      <c r="D147" s="1132"/>
      <c r="E147" s="1132">
        <f t="shared" si="4"/>
        <v>0</v>
      </c>
      <c r="F147" s="1441"/>
      <c r="G147" s="1444"/>
      <c r="H147" s="1445"/>
      <c r="I147" s="1435"/>
      <c r="J147" s="1133"/>
      <c r="K147" s="1442"/>
      <c r="L147" s="1139"/>
      <c r="M147" s="1139"/>
      <c r="N147" s="1137"/>
      <c r="O147" s="1139"/>
      <c r="P147" s="1137"/>
      <c r="Q147" s="1137"/>
      <c r="R147" s="1137"/>
      <c r="S147" s="1343"/>
    </row>
    <row r="148" spans="1:19" s="1138" customFormat="1" ht="16.149999999999999" customHeight="1" x14ac:dyDescent="0.2">
      <c r="A148" s="1443"/>
      <c r="B148" s="1435"/>
      <c r="C148" s="1132"/>
      <c r="D148" s="1132"/>
      <c r="E148" s="1132">
        <f t="shared" si="4"/>
        <v>0</v>
      </c>
      <c r="F148" s="1441"/>
      <c r="G148" s="1444"/>
      <c r="H148" s="1445"/>
      <c r="I148" s="1435"/>
      <c r="J148" s="1133"/>
      <c r="K148" s="1442"/>
      <c r="L148" s="1139"/>
      <c r="M148" s="1139"/>
      <c r="N148" s="1137"/>
      <c r="O148" s="1139"/>
      <c r="P148" s="1137"/>
      <c r="Q148" s="1137"/>
      <c r="R148" s="1137"/>
      <c r="S148" s="1343"/>
    </row>
    <row r="149" spans="1:19" s="1138" customFormat="1" ht="16.149999999999999" customHeight="1" x14ac:dyDescent="0.2">
      <c r="A149" s="1443"/>
      <c r="B149" s="1435"/>
      <c r="C149" s="1132"/>
      <c r="D149" s="1132"/>
      <c r="E149" s="1132">
        <f t="shared" si="4"/>
        <v>0</v>
      </c>
      <c r="F149" s="1441"/>
      <c r="G149" s="1444"/>
      <c r="H149" s="1445"/>
      <c r="I149" s="1435"/>
      <c r="J149" s="1133"/>
      <c r="K149" s="1442"/>
      <c r="L149" s="1139"/>
      <c r="M149" s="1139"/>
      <c r="N149" s="1137"/>
      <c r="O149" s="1139"/>
      <c r="P149" s="1137"/>
      <c r="Q149" s="1137"/>
      <c r="R149" s="1137"/>
      <c r="S149" s="1343"/>
    </row>
    <row r="150" spans="1:19" s="1138" customFormat="1" ht="16.149999999999999" customHeight="1" x14ac:dyDescent="0.2">
      <c r="A150" s="1443"/>
      <c r="B150" s="1435"/>
      <c r="C150" s="1132"/>
      <c r="D150" s="1132"/>
      <c r="E150" s="1132">
        <f t="shared" si="4"/>
        <v>0</v>
      </c>
      <c r="F150" s="1441"/>
      <c r="G150" s="1444"/>
      <c r="H150" s="1445"/>
      <c r="I150" s="1435"/>
      <c r="J150" s="1133"/>
      <c r="K150" s="1442"/>
      <c r="L150" s="1139"/>
      <c r="M150" s="1139"/>
      <c r="N150" s="1137"/>
      <c r="O150" s="1139"/>
      <c r="P150" s="1137"/>
      <c r="Q150" s="1137"/>
      <c r="R150" s="1137"/>
      <c r="S150" s="1343"/>
    </row>
    <row r="151" spans="1:19" s="1138" customFormat="1" ht="16.149999999999999" customHeight="1" x14ac:dyDescent="0.2">
      <c r="A151" s="1443"/>
      <c r="B151" s="1435"/>
      <c r="C151" s="1132"/>
      <c r="D151" s="1132"/>
      <c r="E151" s="1132">
        <f t="shared" si="4"/>
        <v>0</v>
      </c>
      <c r="F151" s="1441"/>
      <c r="G151" s="1444"/>
      <c r="H151" s="1445"/>
      <c r="I151" s="1435"/>
      <c r="J151" s="1133"/>
      <c r="K151" s="1442"/>
      <c r="L151" s="1139"/>
      <c r="M151" s="1139"/>
      <c r="N151" s="1137"/>
      <c r="O151" s="1139"/>
      <c r="P151" s="1137"/>
      <c r="Q151" s="1137"/>
      <c r="R151" s="1137"/>
      <c r="S151" s="1343"/>
    </row>
    <row r="152" spans="1:19" s="1138" customFormat="1" ht="16.149999999999999" customHeight="1" x14ac:dyDescent="0.2">
      <c r="A152" s="1443"/>
      <c r="B152" s="1435"/>
      <c r="C152" s="1132"/>
      <c r="D152" s="1132"/>
      <c r="E152" s="1132">
        <f t="shared" si="4"/>
        <v>0</v>
      </c>
      <c r="F152" s="1441"/>
      <c r="G152" s="1444"/>
      <c r="H152" s="1445"/>
      <c r="I152" s="1435"/>
      <c r="J152" s="1133"/>
      <c r="K152" s="1442"/>
      <c r="L152" s="1139"/>
      <c r="M152" s="1139"/>
      <c r="N152" s="1137"/>
      <c r="O152" s="1139"/>
      <c r="P152" s="1137"/>
      <c r="Q152" s="1137"/>
      <c r="R152" s="1137"/>
      <c r="S152" s="1343"/>
    </row>
    <row r="153" spans="1:19" s="1138" customFormat="1" ht="16.149999999999999" customHeight="1" x14ac:dyDescent="0.2">
      <c r="A153" s="1443"/>
      <c r="B153" s="1435"/>
      <c r="C153" s="1132"/>
      <c r="D153" s="1132"/>
      <c r="E153" s="1132">
        <f t="shared" si="4"/>
        <v>0</v>
      </c>
      <c r="F153" s="1441"/>
      <c r="G153" s="1444"/>
      <c r="H153" s="1445"/>
      <c r="I153" s="1435"/>
      <c r="J153" s="1133"/>
      <c r="K153" s="1442"/>
      <c r="L153" s="1139"/>
      <c r="M153" s="1139"/>
      <c r="N153" s="1137"/>
      <c r="O153" s="1139"/>
      <c r="P153" s="1137"/>
      <c r="Q153" s="1137"/>
      <c r="R153" s="1137"/>
      <c r="S153" s="1343"/>
    </row>
    <row r="154" spans="1:19" s="1138" customFormat="1" ht="16.149999999999999" customHeight="1" x14ac:dyDescent="0.2">
      <c r="A154" s="1443"/>
      <c r="B154" s="1435"/>
      <c r="C154" s="1132"/>
      <c r="D154" s="1132"/>
      <c r="E154" s="1132">
        <f t="shared" si="4"/>
        <v>0</v>
      </c>
      <c r="F154" s="1441"/>
      <c r="G154" s="1444"/>
      <c r="H154" s="1445"/>
      <c r="I154" s="1435"/>
      <c r="J154" s="1133"/>
      <c r="K154" s="1442"/>
      <c r="L154" s="1139"/>
      <c r="M154" s="1139"/>
      <c r="N154" s="1137"/>
      <c r="O154" s="1139"/>
      <c r="P154" s="1137"/>
      <c r="Q154" s="1137"/>
      <c r="R154" s="1137"/>
      <c r="S154" s="1343"/>
    </row>
    <row r="155" spans="1:19" s="1138" customFormat="1" ht="16.149999999999999" customHeight="1" x14ac:dyDescent="0.2">
      <c r="A155" s="1443"/>
      <c r="B155" s="1435"/>
      <c r="C155" s="1132"/>
      <c r="D155" s="1132"/>
      <c r="E155" s="1132">
        <f t="shared" si="4"/>
        <v>0</v>
      </c>
      <c r="F155" s="1441"/>
      <c r="G155" s="1444"/>
      <c r="H155" s="1445"/>
      <c r="I155" s="1435"/>
      <c r="J155" s="1133"/>
      <c r="K155" s="1442"/>
      <c r="L155" s="1139"/>
      <c r="M155" s="1139"/>
      <c r="N155" s="1137"/>
      <c r="O155" s="1139"/>
      <c r="P155" s="1137"/>
      <c r="Q155" s="1137"/>
      <c r="R155" s="1137"/>
      <c r="S155" s="1343"/>
    </row>
    <row r="156" spans="1:19" s="1138" customFormat="1" ht="16.149999999999999" customHeight="1" x14ac:dyDescent="0.2">
      <c r="A156" s="1130"/>
      <c r="B156" s="1130"/>
      <c r="C156" s="1131"/>
      <c r="D156" s="1131"/>
      <c r="E156" s="1132">
        <f t="shared" si="4"/>
        <v>0</v>
      </c>
      <c r="F156" s="1133"/>
      <c r="G156" s="1134"/>
      <c r="H156" s="1332"/>
      <c r="I156" s="1139"/>
      <c r="J156" s="1133"/>
      <c r="K156" s="1136"/>
      <c r="L156" s="1139"/>
      <c r="M156" s="1139"/>
      <c r="N156" s="1137"/>
      <c r="O156" s="1139"/>
      <c r="P156" s="1139"/>
      <c r="Q156" s="1137"/>
      <c r="R156" s="1137"/>
      <c r="S156" s="1137"/>
    </row>
    <row r="157" spans="1:19" s="1138" customFormat="1" ht="16.149999999999999" customHeight="1" x14ac:dyDescent="0.2">
      <c r="A157" s="1130"/>
      <c r="B157" s="1130"/>
      <c r="C157" s="1131"/>
      <c r="D157" s="1131"/>
      <c r="E157" s="1132">
        <f t="shared" si="4"/>
        <v>0</v>
      </c>
      <c r="F157" s="1133"/>
      <c r="G157" s="1134"/>
      <c r="H157" s="1332"/>
      <c r="I157" s="1139"/>
      <c r="J157" s="1133"/>
      <c r="K157" s="1136"/>
      <c r="L157" s="1139"/>
      <c r="M157" s="1139"/>
      <c r="N157" s="1137"/>
      <c r="O157" s="1139"/>
      <c r="P157" s="1139"/>
      <c r="Q157" s="1137"/>
      <c r="R157" s="1137"/>
      <c r="S157" s="1137"/>
    </row>
    <row r="158" spans="1:19" s="1138" customFormat="1" ht="16.149999999999999" customHeight="1" x14ac:dyDescent="0.2">
      <c r="A158" s="1130"/>
      <c r="B158" s="1130"/>
      <c r="C158" s="1131"/>
      <c r="D158" s="1131"/>
      <c r="E158" s="1132">
        <f t="shared" si="4"/>
        <v>0</v>
      </c>
      <c r="F158" s="1133"/>
      <c r="G158" s="1134"/>
      <c r="H158" s="1332"/>
      <c r="I158" s="1139"/>
      <c r="J158" s="1133"/>
      <c r="K158" s="1136"/>
      <c r="L158" s="1139"/>
      <c r="M158" s="1139"/>
      <c r="N158" s="1137"/>
      <c r="O158" s="1139"/>
      <c r="P158" s="1139"/>
      <c r="Q158" s="1137"/>
      <c r="R158" s="1137"/>
      <c r="S158" s="1137"/>
    </row>
    <row r="159" spans="1:19" s="1138" customFormat="1" ht="16.149999999999999" customHeight="1" x14ac:dyDescent="0.2">
      <c r="A159" s="1337"/>
      <c r="B159" s="1338"/>
      <c r="C159" s="1131"/>
      <c r="D159" s="1131"/>
      <c r="E159" s="1132">
        <f t="shared" si="4"/>
        <v>0</v>
      </c>
      <c r="F159" s="1133"/>
      <c r="G159" s="1134"/>
      <c r="H159" s="1135"/>
      <c r="I159" s="1139"/>
      <c r="J159" s="1133"/>
      <c r="K159" s="1136"/>
      <c r="L159" s="1139"/>
      <c r="M159" s="1139"/>
      <c r="N159" s="1137"/>
      <c r="O159" s="1139"/>
      <c r="P159" s="1139"/>
      <c r="Q159" s="1137"/>
      <c r="R159" s="1137"/>
      <c r="S159" s="1137"/>
    </row>
    <row r="160" spans="1:19" s="51" customFormat="1" x14ac:dyDescent="0.2">
      <c r="B160" s="1335"/>
      <c r="C160" s="1140"/>
      <c r="D160" s="1140"/>
    </row>
    <row r="161" spans="2:19" s="51" customFormat="1" x14ac:dyDescent="0.2">
      <c r="C161" s="1140"/>
      <c r="D161" s="1140"/>
    </row>
    <row r="162" spans="2:19" s="51" customFormat="1" ht="14.25" customHeight="1" x14ac:dyDescent="0.2">
      <c r="B162" s="1901" t="s">
        <v>666</v>
      </c>
      <c r="C162" s="1903"/>
      <c r="D162" s="1904"/>
      <c r="E162" s="1904"/>
      <c r="F162" s="1905"/>
      <c r="G162" s="1126"/>
    </row>
    <row r="163" spans="2:19" s="51" customFormat="1" ht="14.25" customHeight="1" x14ac:dyDescent="0.2">
      <c r="B163" s="1902"/>
      <c r="C163" s="1906"/>
      <c r="D163" s="1907"/>
      <c r="E163" s="1907"/>
      <c r="F163" s="1908"/>
      <c r="G163" s="1126"/>
    </row>
    <row r="164" spans="2:19" s="51" customFormat="1" ht="15" thickBot="1" x14ac:dyDescent="0.25"/>
    <row r="165" spans="2:19" s="51" customFormat="1" ht="15" thickBot="1" x14ac:dyDescent="0.25">
      <c r="B165" s="1922" t="s">
        <v>667</v>
      </c>
      <c r="C165" s="1898"/>
      <c r="D165" s="1899"/>
      <c r="E165" s="1899"/>
      <c r="F165" s="1900"/>
      <c r="G165" s="1127"/>
      <c r="H165" s="1127"/>
      <c r="I165" s="1127"/>
      <c r="J165" s="1127"/>
      <c r="K165" s="1127"/>
      <c r="L165" s="1127"/>
      <c r="M165" s="1127"/>
      <c r="N165" s="1127"/>
      <c r="O165" s="1127"/>
      <c r="P165" s="1127"/>
      <c r="Q165" s="1127"/>
      <c r="R165" s="1127"/>
      <c r="S165" s="1127"/>
    </row>
    <row r="166" spans="2:19" s="51" customFormat="1" ht="15" thickBot="1" x14ac:dyDescent="0.25">
      <c r="B166" s="1923"/>
      <c r="C166" s="1898"/>
      <c r="D166" s="1899"/>
      <c r="E166" s="1899"/>
      <c r="F166" s="1900"/>
      <c r="G166" s="307"/>
      <c r="H166" s="307"/>
      <c r="I166" s="307"/>
      <c r="J166" s="307"/>
      <c r="K166" s="307"/>
      <c r="L166" s="307"/>
      <c r="M166" s="307"/>
      <c r="N166" s="307"/>
      <c r="O166" s="307"/>
      <c r="P166" s="307"/>
      <c r="Q166" s="307"/>
      <c r="R166" s="307"/>
      <c r="S166" s="307"/>
    </row>
    <row r="167" spans="2:19" s="51" customFormat="1" ht="15" thickBot="1" x14ac:dyDescent="0.25">
      <c r="B167" s="1924"/>
      <c r="C167" s="1898"/>
      <c r="D167" s="1899"/>
      <c r="E167" s="1899"/>
      <c r="F167" s="1900"/>
      <c r="G167" s="307"/>
      <c r="H167" s="307"/>
      <c r="I167" s="307"/>
      <c r="J167" s="307"/>
      <c r="K167" s="307"/>
      <c r="L167" s="307"/>
      <c r="M167" s="307"/>
      <c r="N167" s="307"/>
      <c r="O167" s="307"/>
      <c r="P167" s="307"/>
      <c r="Q167" s="307"/>
      <c r="R167" s="307"/>
      <c r="S167" s="307"/>
    </row>
    <row r="168" spans="2:19" s="51" customFormat="1" ht="15" thickBot="1" x14ac:dyDescent="0.25">
      <c r="B168" s="1128" t="s">
        <v>668</v>
      </c>
      <c r="C168" s="1898"/>
      <c r="D168" s="1899"/>
      <c r="E168" s="1899"/>
      <c r="F168" s="1900"/>
      <c r="G168" s="307"/>
      <c r="H168" s="307"/>
      <c r="I168" s="307"/>
      <c r="J168" s="307"/>
      <c r="K168" s="307"/>
      <c r="L168" s="307"/>
      <c r="M168" s="307"/>
      <c r="N168" s="307"/>
      <c r="O168" s="307"/>
      <c r="P168" s="307"/>
      <c r="Q168" s="307"/>
      <c r="R168" s="307"/>
      <c r="S168" s="307"/>
    </row>
    <row r="169" spans="2:19" s="51" customFormat="1" x14ac:dyDescent="0.2"/>
    <row r="170" spans="2:19" s="51" customFormat="1" ht="15" x14ac:dyDescent="0.25">
      <c r="B170" s="51" t="s">
        <v>669</v>
      </c>
    </row>
    <row r="171" spans="2:19" s="51" customFormat="1" ht="15" x14ac:dyDescent="0.25">
      <c r="B171" s="51" t="s">
        <v>670</v>
      </c>
    </row>
    <row r="172" spans="2:19" s="51" customFormat="1" ht="15" x14ac:dyDescent="0.25">
      <c r="B172" s="51" t="s">
        <v>1674</v>
      </c>
    </row>
  </sheetData>
  <sheetProtection formatRows="0" insertRows="0" pivotTables="0"/>
  <mergeCells count="22">
    <mergeCell ref="J10:R10"/>
    <mergeCell ref="B75:B76"/>
    <mergeCell ref="C75:F76"/>
    <mergeCell ref="B78:B80"/>
    <mergeCell ref="C78:F80"/>
    <mergeCell ref="B1:B2"/>
    <mergeCell ref="C4:D4"/>
    <mergeCell ref="C5:H5"/>
    <mergeCell ref="C6:D6"/>
    <mergeCell ref="C7:D7"/>
    <mergeCell ref="C1:R2"/>
    <mergeCell ref="C81:F81"/>
    <mergeCell ref="C90:H90"/>
    <mergeCell ref="C91:D91"/>
    <mergeCell ref="C92:D92"/>
    <mergeCell ref="A88:H88"/>
    <mergeCell ref="J95:R95"/>
    <mergeCell ref="C168:F168"/>
    <mergeCell ref="B162:B163"/>
    <mergeCell ref="C162:F163"/>
    <mergeCell ref="B165:B167"/>
    <mergeCell ref="C165:F167"/>
  </mergeCells>
  <conditionalFormatting sqref="C1">
    <cfRule type="cellIs" dxfId="212" priority="13" operator="equal">
      <formula>"ERROR"</formula>
    </cfRule>
  </conditionalFormatting>
  <conditionalFormatting sqref="G78:S81">
    <cfRule type="cellIs" dxfId="211" priority="25" operator="equal">
      <formula>"INEXISTENTE"</formula>
    </cfRule>
    <cfRule type="cellIs" dxfId="210" priority="34" operator="equal">
      <formula>"INADECUADO"</formula>
    </cfRule>
    <cfRule type="cellIs" dxfId="209" priority="35" operator="equal">
      <formula>"PARCIALMENTE ADECUADO"</formula>
    </cfRule>
    <cfRule type="cellIs" dxfId="208" priority="36" operator="equal">
      <formula>"ADECUADO"</formula>
    </cfRule>
    <cfRule type="cellIs" dxfId="207" priority="37" operator="equal">
      <formula>"ERROR"</formula>
    </cfRule>
  </conditionalFormatting>
  <conditionalFormatting sqref="G165:S168">
    <cfRule type="cellIs" dxfId="206" priority="1" operator="equal">
      <formula>"INEXISTENTE"</formula>
    </cfRule>
    <cfRule type="cellIs" dxfId="205" priority="9" operator="equal">
      <formula>"INADECUADO"</formula>
    </cfRule>
    <cfRule type="cellIs" dxfId="204" priority="10" operator="equal">
      <formula>"PARCIALMENTE ADECUADO"</formula>
    </cfRule>
    <cfRule type="cellIs" dxfId="203" priority="11" operator="equal">
      <formula>"ADECUADO"</formula>
    </cfRule>
    <cfRule type="cellIs" dxfId="202" priority="12" operator="equal">
      <formula>"ERROR"</formula>
    </cfRule>
  </conditionalFormatting>
  <conditionalFormatting sqref="K78:S81">
    <cfRule type="cellIs" dxfId="201" priority="26" operator="equal">
      <formula>"INEFICAZ"</formula>
    </cfRule>
    <cfRule type="cellIs" dxfId="200" priority="27" operator="equal">
      <formula>"CON DEFICIENCIAS"</formula>
    </cfRule>
    <cfRule type="cellIs" dxfId="199" priority="28" operator="equal">
      <formula>"EFICAZ"</formula>
    </cfRule>
    <cfRule type="cellIs" dxfId="198" priority="29" operator="equal">
      <formula>"CRÍTICO"</formula>
    </cfRule>
    <cfRule type="cellIs" dxfId="197" priority="30" operator="equal">
      <formula>"ALTO"</formula>
    </cfRule>
    <cfRule type="cellIs" dxfId="196" priority="31" operator="equal">
      <formula>"MEDIO"</formula>
    </cfRule>
    <cfRule type="cellIs" dxfId="195" priority="32" operator="equal">
      <formula>"BAJO"</formula>
    </cfRule>
  </conditionalFormatting>
  <conditionalFormatting sqref="K165:S168">
    <cfRule type="cellIs" dxfId="194" priority="2" operator="equal">
      <formula>"INEFICAZ"</formula>
    </cfRule>
    <cfRule type="cellIs" dxfId="193" priority="3" operator="equal">
      <formula>"CON DEFICIENCIAS"</formula>
    </cfRule>
    <cfRule type="cellIs" dxfId="192" priority="4" operator="equal">
      <formula>"EFICAZ"</formula>
    </cfRule>
    <cfRule type="cellIs" dxfId="191" priority="5" operator="equal">
      <formula>"CRÍTICO"</formula>
    </cfRule>
    <cfRule type="cellIs" dxfId="190" priority="6" operator="equal">
      <formula>"ALTO"</formula>
    </cfRule>
    <cfRule type="cellIs" dxfId="189" priority="7" operator="equal">
      <formula>"MEDIO"</formula>
    </cfRule>
    <cfRule type="cellIs" dxfId="188" priority="8" operator="equal">
      <formula>"BAJO"</formula>
    </cfRule>
  </conditionalFormatting>
  <conditionalFormatting sqref="S2">
    <cfRule type="cellIs" dxfId="187" priority="14" operator="equal">
      <formula>"INEXISTENTE"</formula>
    </cfRule>
    <cfRule type="cellIs" dxfId="186" priority="15" operator="equal">
      <formula>"INADECUADO"</formula>
    </cfRule>
    <cfRule type="cellIs" dxfId="185" priority="16" operator="equal">
      <formula>"PARCIALMENTE ADECUADO"</formula>
    </cfRule>
    <cfRule type="cellIs" dxfId="184" priority="17" operator="equal">
      <formula>"ADECUADO"</formula>
    </cfRule>
    <cfRule type="cellIs" dxfId="183" priority="18" operator="equal">
      <formula>"ERROR"</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LISTAS!$P$22:$P$23</xm:f>
          </x14:formula1>
          <xm:sqref>R12:R68 R97:R155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FFFF00"/>
  </sheetPr>
  <dimension ref="B1:X176"/>
  <sheetViews>
    <sheetView zoomScale="70" zoomScaleNormal="70" workbookViewId="0">
      <selection activeCell="B28" sqref="B28:E28"/>
    </sheetView>
  </sheetViews>
  <sheetFormatPr baseColWidth="10" defaultColWidth="11.42578125" defaultRowHeight="12.75" x14ac:dyDescent="0.25"/>
  <cols>
    <col min="1" max="1" width="3.42578125" style="268" customWidth="1"/>
    <col min="2" max="2" width="23.7109375" style="268" customWidth="1"/>
    <col min="3" max="3" width="22.42578125" style="268" customWidth="1"/>
    <col min="4" max="4" width="29.7109375" style="268" customWidth="1"/>
    <col min="5" max="5" width="36.7109375" style="268" customWidth="1"/>
    <col min="6" max="6" width="28.42578125" style="268" customWidth="1"/>
    <col min="7" max="7" width="22.42578125" style="268" customWidth="1"/>
    <col min="8" max="8" width="18.140625" style="268" customWidth="1"/>
    <col min="9" max="9" width="18.7109375" style="268" customWidth="1"/>
    <col min="10" max="10" width="18.42578125" style="268" customWidth="1"/>
    <col min="11" max="11" width="23.42578125" style="268" customWidth="1"/>
    <col min="12" max="12" width="28.140625" style="268" customWidth="1"/>
    <col min="13" max="13" width="25.5703125" style="268" customWidth="1"/>
    <col min="14" max="15" width="27.140625" style="268" customWidth="1"/>
    <col min="16" max="16" width="20.85546875" style="268" customWidth="1"/>
    <col min="17" max="17" width="24.42578125" style="268" customWidth="1"/>
    <col min="18" max="18" width="23.140625" style="268" customWidth="1"/>
    <col min="19" max="19" width="18.28515625" style="268" customWidth="1"/>
    <col min="20" max="20" width="10.7109375" style="268" customWidth="1"/>
    <col min="21" max="21" width="18.28515625" style="268" customWidth="1"/>
    <col min="22" max="22" width="14.5703125" style="268" customWidth="1"/>
    <col min="23" max="23" width="20.28515625" style="268" customWidth="1"/>
    <col min="24" max="24" width="33.42578125" style="268" customWidth="1"/>
    <col min="25" max="256" width="11.42578125" style="268"/>
    <col min="257" max="257" width="3.42578125" style="268" customWidth="1"/>
    <col min="258" max="258" width="23.7109375" style="268" customWidth="1"/>
    <col min="259" max="259" width="22.42578125" style="268" customWidth="1"/>
    <col min="260" max="260" width="25" style="268" customWidth="1"/>
    <col min="261" max="261" width="24" style="268" customWidth="1"/>
    <col min="262" max="262" width="28.42578125" style="268" customWidth="1"/>
    <col min="263" max="263" width="20.42578125" style="268" customWidth="1"/>
    <col min="264" max="264" width="18.140625" style="268" customWidth="1"/>
    <col min="265" max="265" width="18.7109375" style="268" customWidth="1"/>
    <col min="266" max="266" width="18.42578125" style="268" customWidth="1"/>
    <col min="267" max="267" width="19.28515625" style="268" customWidth="1"/>
    <col min="268" max="268" width="23.42578125" style="268" customWidth="1"/>
    <col min="269" max="269" width="16.7109375" style="268" customWidth="1"/>
    <col min="270" max="270" width="21.7109375" style="268" customWidth="1"/>
    <col min="271" max="512" width="11.42578125" style="268"/>
    <col min="513" max="513" width="3.42578125" style="268" customWidth="1"/>
    <col min="514" max="514" width="23.7109375" style="268" customWidth="1"/>
    <col min="515" max="515" width="22.42578125" style="268" customWidth="1"/>
    <col min="516" max="516" width="25" style="268" customWidth="1"/>
    <col min="517" max="517" width="24" style="268" customWidth="1"/>
    <col min="518" max="518" width="28.42578125" style="268" customWidth="1"/>
    <col min="519" max="519" width="20.42578125" style="268" customWidth="1"/>
    <col min="520" max="520" width="18.140625" style="268" customWidth="1"/>
    <col min="521" max="521" width="18.7109375" style="268" customWidth="1"/>
    <col min="522" max="522" width="18.42578125" style="268" customWidth="1"/>
    <col min="523" max="523" width="19.28515625" style="268" customWidth="1"/>
    <col min="524" max="524" width="23.42578125" style="268" customWidth="1"/>
    <col min="525" max="525" width="16.7109375" style="268" customWidth="1"/>
    <col min="526" max="526" width="21.7109375" style="268" customWidth="1"/>
    <col min="527" max="768" width="11.42578125" style="268"/>
    <col min="769" max="769" width="3.42578125" style="268" customWidth="1"/>
    <col min="770" max="770" width="23.7109375" style="268" customWidth="1"/>
    <col min="771" max="771" width="22.42578125" style="268" customWidth="1"/>
    <col min="772" max="772" width="25" style="268" customWidth="1"/>
    <col min="773" max="773" width="24" style="268" customWidth="1"/>
    <col min="774" max="774" width="28.42578125" style="268" customWidth="1"/>
    <col min="775" max="775" width="20.42578125" style="268" customWidth="1"/>
    <col min="776" max="776" width="18.140625" style="268" customWidth="1"/>
    <col min="777" max="777" width="18.7109375" style="268" customWidth="1"/>
    <col min="778" max="778" width="18.42578125" style="268" customWidth="1"/>
    <col min="779" max="779" width="19.28515625" style="268" customWidth="1"/>
    <col min="780" max="780" width="23.42578125" style="268" customWidth="1"/>
    <col min="781" max="781" width="16.7109375" style="268" customWidth="1"/>
    <col min="782" max="782" width="21.7109375" style="268" customWidth="1"/>
    <col min="783" max="1024" width="11.42578125" style="268"/>
    <col min="1025" max="1025" width="3.42578125" style="268" customWidth="1"/>
    <col min="1026" max="1026" width="23.7109375" style="268" customWidth="1"/>
    <col min="1027" max="1027" width="22.42578125" style="268" customWidth="1"/>
    <col min="1028" max="1028" width="25" style="268" customWidth="1"/>
    <col min="1029" max="1029" width="24" style="268" customWidth="1"/>
    <col min="1030" max="1030" width="28.42578125" style="268" customWidth="1"/>
    <col min="1031" max="1031" width="20.42578125" style="268" customWidth="1"/>
    <col min="1032" max="1032" width="18.140625" style="268" customWidth="1"/>
    <col min="1033" max="1033" width="18.7109375" style="268" customWidth="1"/>
    <col min="1034" max="1034" width="18.42578125" style="268" customWidth="1"/>
    <col min="1035" max="1035" width="19.28515625" style="268" customWidth="1"/>
    <col min="1036" max="1036" width="23.42578125" style="268" customWidth="1"/>
    <col min="1037" max="1037" width="16.7109375" style="268" customWidth="1"/>
    <col min="1038" max="1038" width="21.7109375" style="268" customWidth="1"/>
    <col min="1039" max="1280" width="11.42578125" style="268"/>
    <col min="1281" max="1281" width="3.42578125" style="268" customWidth="1"/>
    <col min="1282" max="1282" width="23.7109375" style="268" customWidth="1"/>
    <col min="1283" max="1283" width="22.42578125" style="268" customWidth="1"/>
    <col min="1284" max="1284" width="25" style="268" customWidth="1"/>
    <col min="1285" max="1285" width="24" style="268" customWidth="1"/>
    <col min="1286" max="1286" width="28.42578125" style="268" customWidth="1"/>
    <col min="1287" max="1287" width="20.42578125" style="268" customWidth="1"/>
    <col min="1288" max="1288" width="18.140625" style="268" customWidth="1"/>
    <col min="1289" max="1289" width="18.7109375" style="268" customWidth="1"/>
    <col min="1290" max="1290" width="18.42578125" style="268" customWidth="1"/>
    <col min="1291" max="1291" width="19.28515625" style="268" customWidth="1"/>
    <col min="1292" max="1292" width="23.42578125" style="268" customWidth="1"/>
    <col min="1293" max="1293" width="16.7109375" style="268" customWidth="1"/>
    <col min="1294" max="1294" width="21.7109375" style="268" customWidth="1"/>
    <col min="1295" max="1536" width="11.42578125" style="268"/>
    <col min="1537" max="1537" width="3.42578125" style="268" customWidth="1"/>
    <col min="1538" max="1538" width="23.7109375" style="268" customWidth="1"/>
    <col min="1539" max="1539" width="22.42578125" style="268" customWidth="1"/>
    <col min="1540" max="1540" width="25" style="268" customWidth="1"/>
    <col min="1541" max="1541" width="24" style="268" customWidth="1"/>
    <col min="1542" max="1542" width="28.42578125" style="268" customWidth="1"/>
    <col min="1543" max="1543" width="20.42578125" style="268" customWidth="1"/>
    <col min="1544" max="1544" width="18.140625" style="268" customWidth="1"/>
    <col min="1545" max="1545" width="18.7109375" style="268" customWidth="1"/>
    <col min="1546" max="1546" width="18.42578125" style="268" customWidth="1"/>
    <col min="1547" max="1547" width="19.28515625" style="268" customWidth="1"/>
    <col min="1548" max="1548" width="23.42578125" style="268" customWidth="1"/>
    <col min="1549" max="1549" width="16.7109375" style="268" customWidth="1"/>
    <col min="1550" max="1550" width="21.7109375" style="268" customWidth="1"/>
    <col min="1551" max="1792" width="11.42578125" style="268"/>
    <col min="1793" max="1793" width="3.42578125" style="268" customWidth="1"/>
    <col min="1794" max="1794" width="23.7109375" style="268" customWidth="1"/>
    <col min="1795" max="1795" width="22.42578125" style="268" customWidth="1"/>
    <col min="1796" max="1796" width="25" style="268" customWidth="1"/>
    <col min="1797" max="1797" width="24" style="268" customWidth="1"/>
    <col min="1798" max="1798" width="28.42578125" style="268" customWidth="1"/>
    <col min="1799" max="1799" width="20.42578125" style="268" customWidth="1"/>
    <col min="1800" max="1800" width="18.140625" style="268" customWidth="1"/>
    <col min="1801" max="1801" width="18.7109375" style="268" customWidth="1"/>
    <col min="1802" max="1802" width="18.42578125" style="268" customWidth="1"/>
    <col min="1803" max="1803" width="19.28515625" style="268" customWidth="1"/>
    <col min="1804" max="1804" width="23.42578125" style="268" customWidth="1"/>
    <col min="1805" max="1805" width="16.7109375" style="268" customWidth="1"/>
    <col min="1806" max="1806" width="21.7109375" style="268" customWidth="1"/>
    <col min="1807" max="2048" width="11.42578125" style="268"/>
    <col min="2049" max="2049" width="3.42578125" style="268" customWidth="1"/>
    <col min="2050" max="2050" width="23.7109375" style="268" customWidth="1"/>
    <col min="2051" max="2051" width="22.42578125" style="268" customWidth="1"/>
    <col min="2052" max="2052" width="25" style="268" customWidth="1"/>
    <col min="2053" max="2053" width="24" style="268" customWidth="1"/>
    <col min="2054" max="2054" width="28.42578125" style="268" customWidth="1"/>
    <col min="2055" max="2055" width="20.42578125" style="268" customWidth="1"/>
    <col min="2056" max="2056" width="18.140625" style="268" customWidth="1"/>
    <col min="2057" max="2057" width="18.7109375" style="268" customWidth="1"/>
    <col min="2058" max="2058" width="18.42578125" style="268" customWidth="1"/>
    <col min="2059" max="2059" width="19.28515625" style="268" customWidth="1"/>
    <col min="2060" max="2060" width="23.42578125" style="268" customWidth="1"/>
    <col min="2061" max="2061" width="16.7109375" style="268" customWidth="1"/>
    <col min="2062" max="2062" width="21.7109375" style="268" customWidth="1"/>
    <col min="2063" max="2304" width="11.42578125" style="268"/>
    <col min="2305" max="2305" width="3.42578125" style="268" customWidth="1"/>
    <col min="2306" max="2306" width="23.7109375" style="268" customWidth="1"/>
    <col min="2307" max="2307" width="22.42578125" style="268" customWidth="1"/>
    <col min="2308" max="2308" width="25" style="268" customWidth="1"/>
    <col min="2309" max="2309" width="24" style="268" customWidth="1"/>
    <col min="2310" max="2310" width="28.42578125" style="268" customWidth="1"/>
    <col min="2311" max="2311" width="20.42578125" style="268" customWidth="1"/>
    <col min="2312" max="2312" width="18.140625" style="268" customWidth="1"/>
    <col min="2313" max="2313" width="18.7109375" style="268" customWidth="1"/>
    <col min="2314" max="2314" width="18.42578125" style="268" customWidth="1"/>
    <col min="2315" max="2315" width="19.28515625" style="268" customWidth="1"/>
    <col min="2316" max="2316" width="23.42578125" style="268" customWidth="1"/>
    <col min="2317" max="2317" width="16.7109375" style="268" customWidth="1"/>
    <col min="2318" max="2318" width="21.7109375" style="268" customWidth="1"/>
    <col min="2319" max="2560" width="11.42578125" style="268"/>
    <col min="2561" max="2561" width="3.42578125" style="268" customWidth="1"/>
    <col min="2562" max="2562" width="23.7109375" style="268" customWidth="1"/>
    <col min="2563" max="2563" width="22.42578125" style="268" customWidth="1"/>
    <col min="2564" max="2564" width="25" style="268" customWidth="1"/>
    <col min="2565" max="2565" width="24" style="268" customWidth="1"/>
    <col min="2566" max="2566" width="28.42578125" style="268" customWidth="1"/>
    <col min="2567" max="2567" width="20.42578125" style="268" customWidth="1"/>
    <col min="2568" max="2568" width="18.140625" style="268" customWidth="1"/>
    <col min="2569" max="2569" width="18.7109375" style="268" customWidth="1"/>
    <col min="2570" max="2570" width="18.42578125" style="268" customWidth="1"/>
    <col min="2571" max="2571" width="19.28515625" style="268" customWidth="1"/>
    <col min="2572" max="2572" width="23.42578125" style="268" customWidth="1"/>
    <col min="2573" max="2573" width="16.7109375" style="268" customWidth="1"/>
    <col min="2574" max="2574" width="21.7109375" style="268" customWidth="1"/>
    <col min="2575" max="2816" width="11.42578125" style="268"/>
    <col min="2817" max="2817" width="3.42578125" style="268" customWidth="1"/>
    <col min="2818" max="2818" width="23.7109375" style="268" customWidth="1"/>
    <col min="2819" max="2819" width="22.42578125" style="268" customWidth="1"/>
    <col min="2820" max="2820" width="25" style="268" customWidth="1"/>
    <col min="2821" max="2821" width="24" style="268" customWidth="1"/>
    <col min="2822" max="2822" width="28.42578125" style="268" customWidth="1"/>
    <col min="2823" max="2823" width="20.42578125" style="268" customWidth="1"/>
    <col min="2824" max="2824" width="18.140625" style="268" customWidth="1"/>
    <col min="2825" max="2825" width="18.7109375" style="268" customWidth="1"/>
    <col min="2826" max="2826" width="18.42578125" style="268" customWidth="1"/>
    <col min="2827" max="2827" width="19.28515625" style="268" customWidth="1"/>
    <col min="2828" max="2828" width="23.42578125" style="268" customWidth="1"/>
    <col min="2829" max="2829" width="16.7109375" style="268" customWidth="1"/>
    <col min="2830" max="2830" width="21.7109375" style="268" customWidth="1"/>
    <col min="2831" max="3072" width="11.42578125" style="268"/>
    <col min="3073" max="3073" width="3.42578125" style="268" customWidth="1"/>
    <col min="3074" max="3074" width="23.7109375" style="268" customWidth="1"/>
    <col min="3075" max="3075" width="22.42578125" style="268" customWidth="1"/>
    <col min="3076" max="3076" width="25" style="268" customWidth="1"/>
    <col min="3077" max="3077" width="24" style="268" customWidth="1"/>
    <col min="3078" max="3078" width="28.42578125" style="268" customWidth="1"/>
    <col min="3079" max="3079" width="20.42578125" style="268" customWidth="1"/>
    <col min="3080" max="3080" width="18.140625" style="268" customWidth="1"/>
    <col min="3081" max="3081" width="18.7109375" style="268" customWidth="1"/>
    <col min="3082" max="3082" width="18.42578125" style="268" customWidth="1"/>
    <col min="3083" max="3083" width="19.28515625" style="268" customWidth="1"/>
    <col min="3084" max="3084" width="23.42578125" style="268" customWidth="1"/>
    <col min="3085" max="3085" width="16.7109375" style="268" customWidth="1"/>
    <col min="3086" max="3086" width="21.7109375" style="268" customWidth="1"/>
    <col min="3087" max="3328" width="11.42578125" style="268"/>
    <col min="3329" max="3329" width="3.42578125" style="268" customWidth="1"/>
    <col min="3330" max="3330" width="23.7109375" style="268" customWidth="1"/>
    <col min="3331" max="3331" width="22.42578125" style="268" customWidth="1"/>
    <col min="3332" max="3332" width="25" style="268" customWidth="1"/>
    <col min="3333" max="3333" width="24" style="268" customWidth="1"/>
    <col min="3334" max="3334" width="28.42578125" style="268" customWidth="1"/>
    <col min="3335" max="3335" width="20.42578125" style="268" customWidth="1"/>
    <col min="3336" max="3336" width="18.140625" style="268" customWidth="1"/>
    <col min="3337" max="3337" width="18.7109375" style="268" customWidth="1"/>
    <col min="3338" max="3338" width="18.42578125" style="268" customWidth="1"/>
    <col min="3339" max="3339" width="19.28515625" style="268" customWidth="1"/>
    <col min="3340" max="3340" width="23.42578125" style="268" customWidth="1"/>
    <col min="3341" max="3341" width="16.7109375" style="268" customWidth="1"/>
    <col min="3342" max="3342" width="21.7109375" style="268" customWidth="1"/>
    <col min="3343" max="3584" width="11.42578125" style="268"/>
    <col min="3585" max="3585" width="3.42578125" style="268" customWidth="1"/>
    <col min="3586" max="3586" width="23.7109375" style="268" customWidth="1"/>
    <col min="3587" max="3587" width="22.42578125" style="268" customWidth="1"/>
    <col min="3588" max="3588" width="25" style="268" customWidth="1"/>
    <col min="3589" max="3589" width="24" style="268" customWidth="1"/>
    <col min="3590" max="3590" width="28.42578125" style="268" customWidth="1"/>
    <col min="3591" max="3591" width="20.42578125" style="268" customWidth="1"/>
    <col min="3592" max="3592" width="18.140625" style="268" customWidth="1"/>
    <col min="3593" max="3593" width="18.7109375" style="268" customWidth="1"/>
    <col min="3594" max="3594" width="18.42578125" style="268" customWidth="1"/>
    <col min="3595" max="3595" width="19.28515625" style="268" customWidth="1"/>
    <col min="3596" max="3596" width="23.42578125" style="268" customWidth="1"/>
    <col min="3597" max="3597" width="16.7109375" style="268" customWidth="1"/>
    <col min="3598" max="3598" width="21.7109375" style="268" customWidth="1"/>
    <col min="3599" max="3840" width="11.42578125" style="268"/>
    <col min="3841" max="3841" width="3.42578125" style="268" customWidth="1"/>
    <col min="3842" max="3842" width="23.7109375" style="268" customWidth="1"/>
    <col min="3843" max="3843" width="22.42578125" style="268" customWidth="1"/>
    <col min="3844" max="3844" width="25" style="268" customWidth="1"/>
    <col min="3845" max="3845" width="24" style="268" customWidth="1"/>
    <col min="3846" max="3846" width="28.42578125" style="268" customWidth="1"/>
    <col min="3847" max="3847" width="20.42578125" style="268" customWidth="1"/>
    <col min="3848" max="3848" width="18.140625" style="268" customWidth="1"/>
    <col min="3849" max="3849" width="18.7109375" style="268" customWidth="1"/>
    <col min="3850" max="3850" width="18.42578125" style="268" customWidth="1"/>
    <col min="3851" max="3851" width="19.28515625" style="268" customWidth="1"/>
    <col min="3852" max="3852" width="23.42578125" style="268" customWidth="1"/>
    <col min="3853" max="3853" width="16.7109375" style="268" customWidth="1"/>
    <col min="3854" max="3854" width="21.7109375" style="268" customWidth="1"/>
    <col min="3855" max="4096" width="11.42578125" style="268"/>
    <col min="4097" max="4097" width="3.42578125" style="268" customWidth="1"/>
    <col min="4098" max="4098" width="23.7109375" style="268" customWidth="1"/>
    <col min="4099" max="4099" width="22.42578125" style="268" customWidth="1"/>
    <col min="4100" max="4100" width="25" style="268" customWidth="1"/>
    <col min="4101" max="4101" width="24" style="268" customWidth="1"/>
    <col min="4102" max="4102" width="28.42578125" style="268" customWidth="1"/>
    <col min="4103" max="4103" width="20.42578125" style="268" customWidth="1"/>
    <col min="4104" max="4104" width="18.140625" style="268" customWidth="1"/>
    <col min="4105" max="4105" width="18.7109375" style="268" customWidth="1"/>
    <col min="4106" max="4106" width="18.42578125" style="268" customWidth="1"/>
    <col min="4107" max="4107" width="19.28515625" style="268" customWidth="1"/>
    <col min="4108" max="4108" width="23.42578125" style="268" customWidth="1"/>
    <col min="4109" max="4109" width="16.7109375" style="268" customWidth="1"/>
    <col min="4110" max="4110" width="21.7109375" style="268" customWidth="1"/>
    <col min="4111" max="4352" width="11.42578125" style="268"/>
    <col min="4353" max="4353" width="3.42578125" style="268" customWidth="1"/>
    <col min="4354" max="4354" width="23.7109375" style="268" customWidth="1"/>
    <col min="4355" max="4355" width="22.42578125" style="268" customWidth="1"/>
    <col min="4356" max="4356" width="25" style="268" customWidth="1"/>
    <col min="4357" max="4357" width="24" style="268" customWidth="1"/>
    <col min="4358" max="4358" width="28.42578125" style="268" customWidth="1"/>
    <col min="4359" max="4359" width="20.42578125" style="268" customWidth="1"/>
    <col min="4360" max="4360" width="18.140625" style="268" customWidth="1"/>
    <col min="4361" max="4361" width="18.7109375" style="268" customWidth="1"/>
    <col min="4362" max="4362" width="18.42578125" style="268" customWidth="1"/>
    <col min="4363" max="4363" width="19.28515625" style="268" customWidth="1"/>
    <col min="4364" max="4364" width="23.42578125" style="268" customWidth="1"/>
    <col min="4365" max="4365" width="16.7109375" style="268" customWidth="1"/>
    <col min="4366" max="4366" width="21.7109375" style="268" customWidth="1"/>
    <col min="4367" max="4608" width="11.42578125" style="268"/>
    <col min="4609" max="4609" width="3.42578125" style="268" customWidth="1"/>
    <col min="4610" max="4610" width="23.7109375" style="268" customWidth="1"/>
    <col min="4611" max="4611" width="22.42578125" style="268" customWidth="1"/>
    <col min="4612" max="4612" width="25" style="268" customWidth="1"/>
    <col min="4613" max="4613" width="24" style="268" customWidth="1"/>
    <col min="4614" max="4614" width="28.42578125" style="268" customWidth="1"/>
    <col min="4615" max="4615" width="20.42578125" style="268" customWidth="1"/>
    <col min="4616" max="4616" width="18.140625" style="268" customWidth="1"/>
    <col min="4617" max="4617" width="18.7109375" style="268" customWidth="1"/>
    <col min="4618" max="4618" width="18.42578125" style="268" customWidth="1"/>
    <col min="4619" max="4619" width="19.28515625" style="268" customWidth="1"/>
    <col min="4620" max="4620" width="23.42578125" style="268" customWidth="1"/>
    <col min="4621" max="4621" width="16.7109375" style="268" customWidth="1"/>
    <col min="4622" max="4622" width="21.7109375" style="268" customWidth="1"/>
    <col min="4623" max="4864" width="11.42578125" style="268"/>
    <col min="4865" max="4865" width="3.42578125" style="268" customWidth="1"/>
    <col min="4866" max="4866" width="23.7109375" style="268" customWidth="1"/>
    <col min="4867" max="4867" width="22.42578125" style="268" customWidth="1"/>
    <col min="4868" max="4868" width="25" style="268" customWidth="1"/>
    <col min="4869" max="4869" width="24" style="268" customWidth="1"/>
    <col min="4870" max="4870" width="28.42578125" style="268" customWidth="1"/>
    <col min="4871" max="4871" width="20.42578125" style="268" customWidth="1"/>
    <col min="4872" max="4872" width="18.140625" style="268" customWidth="1"/>
    <col min="4873" max="4873" width="18.7109375" style="268" customWidth="1"/>
    <col min="4874" max="4874" width="18.42578125" style="268" customWidth="1"/>
    <col min="4875" max="4875" width="19.28515625" style="268" customWidth="1"/>
    <col min="4876" max="4876" width="23.42578125" style="268" customWidth="1"/>
    <col min="4877" max="4877" width="16.7109375" style="268" customWidth="1"/>
    <col min="4878" max="4878" width="21.7109375" style="268" customWidth="1"/>
    <col min="4879" max="5120" width="11.42578125" style="268"/>
    <col min="5121" max="5121" width="3.42578125" style="268" customWidth="1"/>
    <col min="5122" max="5122" width="23.7109375" style="268" customWidth="1"/>
    <col min="5123" max="5123" width="22.42578125" style="268" customWidth="1"/>
    <col min="5124" max="5124" width="25" style="268" customWidth="1"/>
    <col min="5125" max="5125" width="24" style="268" customWidth="1"/>
    <col min="5126" max="5126" width="28.42578125" style="268" customWidth="1"/>
    <col min="5127" max="5127" width="20.42578125" style="268" customWidth="1"/>
    <col min="5128" max="5128" width="18.140625" style="268" customWidth="1"/>
    <col min="5129" max="5129" width="18.7109375" style="268" customWidth="1"/>
    <col min="5130" max="5130" width="18.42578125" style="268" customWidth="1"/>
    <col min="5131" max="5131" width="19.28515625" style="268" customWidth="1"/>
    <col min="5132" max="5132" width="23.42578125" style="268" customWidth="1"/>
    <col min="5133" max="5133" width="16.7109375" style="268" customWidth="1"/>
    <col min="5134" max="5134" width="21.7109375" style="268" customWidth="1"/>
    <col min="5135" max="5376" width="11.42578125" style="268"/>
    <col min="5377" max="5377" width="3.42578125" style="268" customWidth="1"/>
    <col min="5378" max="5378" width="23.7109375" style="268" customWidth="1"/>
    <col min="5379" max="5379" width="22.42578125" style="268" customWidth="1"/>
    <col min="5380" max="5380" width="25" style="268" customWidth="1"/>
    <col min="5381" max="5381" width="24" style="268" customWidth="1"/>
    <col min="5382" max="5382" width="28.42578125" style="268" customWidth="1"/>
    <col min="5383" max="5383" width="20.42578125" style="268" customWidth="1"/>
    <col min="5384" max="5384" width="18.140625" style="268" customWidth="1"/>
    <col min="5385" max="5385" width="18.7109375" style="268" customWidth="1"/>
    <col min="5386" max="5386" width="18.42578125" style="268" customWidth="1"/>
    <col min="5387" max="5387" width="19.28515625" style="268" customWidth="1"/>
    <col min="5388" max="5388" width="23.42578125" style="268" customWidth="1"/>
    <col min="5389" max="5389" width="16.7109375" style="268" customWidth="1"/>
    <col min="5390" max="5390" width="21.7109375" style="268" customWidth="1"/>
    <col min="5391" max="5632" width="11.42578125" style="268"/>
    <col min="5633" max="5633" width="3.42578125" style="268" customWidth="1"/>
    <col min="5634" max="5634" width="23.7109375" style="268" customWidth="1"/>
    <col min="5635" max="5635" width="22.42578125" style="268" customWidth="1"/>
    <col min="5636" max="5636" width="25" style="268" customWidth="1"/>
    <col min="5637" max="5637" width="24" style="268" customWidth="1"/>
    <col min="5638" max="5638" width="28.42578125" style="268" customWidth="1"/>
    <col min="5639" max="5639" width="20.42578125" style="268" customWidth="1"/>
    <col min="5640" max="5640" width="18.140625" style="268" customWidth="1"/>
    <col min="5641" max="5641" width="18.7109375" style="268" customWidth="1"/>
    <col min="5642" max="5642" width="18.42578125" style="268" customWidth="1"/>
    <col min="5643" max="5643" width="19.28515625" style="268" customWidth="1"/>
    <col min="5644" max="5644" width="23.42578125" style="268" customWidth="1"/>
    <col min="5645" max="5645" width="16.7109375" style="268" customWidth="1"/>
    <col min="5646" max="5646" width="21.7109375" style="268" customWidth="1"/>
    <col min="5647" max="5888" width="11.42578125" style="268"/>
    <col min="5889" max="5889" width="3.42578125" style="268" customWidth="1"/>
    <col min="5890" max="5890" width="23.7109375" style="268" customWidth="1"/>
    <col min="5891" max="5891" width="22.42578125" style="268" customWidth="1"/>
    <col min="5892" max="5892" width="25" style="268" customWidth="1"/>
    <col min="5893" max="5893" width="24" style="268" customWidth="1"/>
    <col min="5894" max="5894" width="28.42578125" style="268" customWidth="1"/>
    <col min="5895" max="5895" width="20.42578125" style="268" customWidth="1"/>
    <col min="5896" max="5896" width="18.140625" style="268" customWidth="1"/>
    <col min="5897" max="5897" width="18.7109375" style="268" customWidth="1"/>
    <col min="5898" max="5898" width="18.42578125" style="268" customWidth="1"/>
    <col min="5899" max="5899" width="19.28515625" style="268" customWidth="1"/>
    <col min="5900" max="5900" width="23.42578125" style="268" customWidth="1"/>
    <col min="5901" max="5901" width="16.7109375" style="268" customWidth="1"/>
    <col min="5902" max="5902" width="21.7109375" style="268" customWidth="1"/>
    <col min="5903" max="6144" width="11.42578125" style="268"/>
    <col min="6145" max="6145" width="3.42578125" style="268" customWidth="1"/>
    <col min="6146" max="6146" width="23.7109375" style="268" customWidth="1"/>
    <col min="6147" max="6147" width="22.42578125" style="268" customWidth="1"/>
    <col min="6148" max="6148" width="25" style="268" customWidth="1"/>
    <col min="6149" max="6149" width="24" style="268" customWidth="1"/>
    <col min="6150" max="6150" width="28.42578125" style="268" customWidth="1"/>
    <col min="6151" max="6151" width="20.42578125" style="268" customWidth="1"/>
    <col min="6152" max="6152" width="18.140625" style="268" customWidth="1"/>
    <col min="6153" max="6153" width="18.7109375" style="268" customWidth="1"/>
    <col min="6154" max="6154" width="18.42578125" style="268" customWidth="1"/>
    <col min="6155" max="6155" width="19.28515625" style="268" customWidth="1"/>
    <col min="6156" max="6156" width="23.42578125" style="268" customWidth="1"/>
    <col min="6157" max="6157" width="16.7109375" style="268" customWidth="1"/>
    <col min="6158" max="6158" width="21.7109375" style="268" customWidth="1"/>
    <col min="6159" max="6400" width="11.42578125" style="268"/>
    <col min="6401" max="6401" width="3.42578125" style="268" customWidth="1"/>
    <col min="6402" max="6402" width="23.7109375" style="268" customWidth="1"/>
    <col min="6403" max="6403" width="22.42578125" style="268" customWidth="1"/>
    <col min="6404" max="6404" width="25" style="268" customWidth="1"/>
    <col min="6405" max="6405" width="24" style="268" customWidth="1"/>
    <col min="6406" max="6406" width="28.42578125" style="268" customWidth="1"/>
    <col min="6407" max="6407" width="20.42578125" style="268" customWidth="1"/>
    <col min="6408" max="6408" width="18.140625" style="268" customWidth="1"/>
    <col min="6409" max="6409" width="18.7109375" style="268" customWidth="1"/>
    <col min="6410" max="6410" width="18.42578125" style="268" customWidth="1"/>
    <col min="6411" max="6411" width="19.28515625" style="268" customWidth="1"/>
    <col min="6412" max="6412" width="23.42578125" style="268" customWidth="1"/>
    <col min="6413" max="6413" width="16.7109375" style="268" customWidth="1"/>
    <col min="6414" max="6414" width="21.7109375" style="268" customWidth="1"/>
    <col min="6415" max="6656" width="11.42578125" style="268"/>
    <col min="6657" max="6657" width="3.42578125" style="268" customWidth="1"/>
    <col min="6658" max="6658" width="23.7109375" style="268" customWidth="1"/>
    <col min="6659" max="6659" width="22.42578125" style="268" customWidth="1"/>
    <col min="6660" max="6660" width="25" style="268" customWidth="1"/>
    <col min="6661" max="6661" width="24" style="268" customWidth="1"/>
    <col min="6662" max="6662" width="28.42578125" style="268" customWidth="1"/>
    <col min="6663" max="6663" width="20.42578125" style="268" customWidth="1"/>
    <col min="6664" max="6664" width="18.140625" style="268" customWidth="1"/>
    <col min="6665" max="6665" width="18.7109375" style="268" customWidth="1"/>
    <col min="6666" max="6666" width="18.42578125" style="268" customWidth="1"/>
    <col min="6667" max="6667" width="19.28515625" style="268" customWidth="1"/>
    <col min="6668" max="6668" width="23.42578125" style="268" customWidth="1"/>
    <col min="6669" max="6669" width="16.7109375" style="268" customWidth="1"/>
    <col min="6670" max="6670" width="21.7109375" style="268" customWidth="1"/>
    <col min="6671" max="6912" width="11.42578125" style="268"/>
    <col min="6913" max="6913" width="3.42578125" style="268" customWidth="1"/>
    <col min="6914" max="6914" width="23.7109375" style="268" customWidth="1"/>
    <col min="6915" max="6915" width="22.42578125" style="268" customWidth="1"/>
    <col min="6916" max="6916" width="25" style="268" customWidth="1"/>
    <col min="6917" max="6917" width="24" style="268" customWidth="1"/>
    <col min="6918" max="6918" width="28.42578125" style="268" customWidth="1"/>
    <col min="6919" max="6919" width="20.42578125" style="268" customWidth="1"/>
    <col min="6920" max="6920" width="18.140625" style="268" customWidth="1"/>
    <col min="6921" max="6921" width="18.7109375" style="268" customWidth="1"/>
    <col min="6922" max="6922" width="18.42578125" style="268" customWidth="1"/>
    <col min="6923" max="6923" width="19.28515625" style="268" customWidth="1"/>
    <col min="6924" max="6924" width="23.42578125" style="268" customWidth="1"/>
    <col min="6925" max="6925" width="16.7109375" style="268" customWidth="1"/>
    <col min="6926" max="6926" width="21.7109375" style="268" customWidth="1"/>
    <col min="6927" max="7168" width="11.42578125" style="268"/>
    <col min="7169" max="7169" width="3.42578125" style="268" customWidth="1"/>
    <col min="7170" max="7170" width="23.7109375" style="268" customWidth="1"/>
    <col min="7171" max="7171" width="22.42578125" style="268" customWidth="1"/>
    <col min="7172" max="7172" width="25" style="268" customWidth="1"/>
    <col min="7173" max="7173" width="24" style="268" customWidth="1"/>
    <col min="7174" max="7174" width="28.42578125" style="268" customWidth="1"/>
    <col min="7175" max="7175" width="20.42578125" style="268" customWidth="1"/>
    <col min="7176" max="7176" width="18.140625" style="268" customWidth="1"/>
    <col min="7177" max="7177" width="18.7109375" style="268" customWidth="1"/>
    <col min="7178" max="7178" width="18.42578125" style="268" customWidth="1"/>
    <col min="7179" max="7179" width="19.28515625" style="268" customWidth="1"/>
    <col min="7180" max="7180" width="23.42578125" style="268" customWidth="1"/>
    <col min="7181" max="7181" width="16.7109375" style="268" customWidth="1"/>
    <col min="7182" max="7182" width="21.7109375" style="268" customWidth="1"/>
    <col min="7183" max="7424" width="11.42578125" style="268"/>
    <col min="7425" max="7425" width="3.42578125" style="268" customWidth="1"/>
    <col min="7426" max="7426" width="23.7109375" style="268" customWidth="1"/>
    <col min="7427" max="7427" width="22.42578125" style="268" customWidth="1"/>
    <col min="7428" max="7428" width="25" style="268" customWidth="1"/>
    <col min="7429" max="7429" width="24" style="268" customWidth="1"/>
    <col min="7430" max="7430" width="28.42578125" style="268" customWidth="1"/>
    <col min="7431" max="7431" width="20.42578125" style="268" customWidth="1"/>
    <col min="7432" max="7432" width="18.140625" style="268" customWidth="1"/>
    <col min="7433" max="7433" width="18.7109375" style="268" customWidth="1"/>
    <col min="7434" max="7434" width="18.42578125" style="268" customWidth="1"/>
    <col min="7435" max="7435" width="19.28515625" style="268" customWidth="1"/>
    <col min="7436" max="7436" width="23.42578125" style="268" customWidth="1"/>
    <col min="7437" max="7437" width="16.7109375" style="268" customWidth="1"/>
    <col min="7438" max="7438" width="21.7109375" style="268" customWidth="1"/>
    <col min="7439" max="7680" width="11.42578125" style="268"/>
    <col min="7681" max="7681" width="3.42578125" style="268" customWidth="1"/>
    <col min="7682" max="7682" width="23.7109375" style="268" customWidth="1"/>
    <col min="7683" max="7683" width="22.42578125" style="268" customWidth="1"/>
    <col min="7684" max="7684" width="25" style="268" customWidth="1"/>
    <col min="7685" max="7685" width="24" style="268" customWidth="1"/>
    <col min="7686" max="7686" width="28.42578125" style="268" customWidth="1"/>
    <col min="7687" max="7687" width="20.42578125" style="268" customWidth="1"/>
    <col min="7688" max="7688" width="18.140625" style="268" customWidth="1"/>
    <col min="7689" max="7689" width="18.7109375" style="268" customWidth="1"/>
    <col min="7690" max="7690" width="18.42578125" style="268" customWidth="1"/>
    <col min="7691" max="7691" width="19.28515625" style="268" customWidth="1"/>
    <col min="7692" max="7692" width="23.42578125" style="268" customWidth="1"/>
    <col min="7693" max="7693" width="16.7109375" style="268" customWidth="1"/>
    <col min="7694" max="7694" width="21.7109375" style="268" customWidth="1"/>
    <col min="7695" max="7936" width="11.42578125" style="268"/>
    <col min="7937" max="7937" width="3.42578125" style="268" customWidth="1"/>
    <col min="7938" max="7938" width="23.7109375" style="268" customWidth="1"/>
    <col min="7939" max="7939" width="22.42578125" style="268" customWidth="1"/>
    <col min="7940" max="7940" width="25" style="268" customWidth="1"/>
    <col min="7941" max="7941" width="24" style="268" customWidth="1"/>
    <col min="7942" max="7942" width="28.42578125" style="268" customWidth="1"/>
    <col min="7943" max="7943" width="20.42578125" style="268" customWidth="1"/>
    <col min="7944" max="7944" width="18.140625" style="268" customWidth="1"/>
    <col min="7945" max="7945" width="18.7109375" style="268" customWidth="1"/>
    <col min="7946" max="7946" width="18.42578125" style="268" customWidth="1"/>
    <col min="7947" max="7947" width="19.28515625" style="268" customWidth="1"/>
    <col min="7948" max="7948" width="23.42578125" style="268" customWidth="1"/>
    <col min="7949" max="7949" width="16.7109375" style="268" customWidth="1"/>
    <col min="7950" max="7950" width="21.7109375" style="268" customWidth="1"/>
    <col min="7951" max="8192" width="11.42578125" style="268"/>
    <col min="8193" max="8193" width="3.42578125" style="268" customWidth="1"/>
    <col min="8194" max="8194" width="23.7109375" style="268" customWidth="1"/>
    <col min="8195" max="8195" width="22.42578125" style="268" customWidth="1"/>
    <col min="8196" max="8196" width="25" style="268" customWidth="1"/>
    <col min="8197" max="8197" width="24" style="268" customWidth="1"/>
    <col min="8198" max="8198" width="28.42578125" style="268" customWidth="1"/>
    <col min="8199" max="8199" width="20.42578125" style="268" customWidth="1"/>
    <col min="8200" max="8200" width="18.140625" style="268" customWidth="1"/>
    <col min="8201" max="8201" width="18.7109375" style="268" customWidth="1"/>
    <col min="8202" max="8202" width="18.42578125" style="268" customWidth="1"/>
    <col min="8203" max="8203" width="19.28515625" style="268" customWidth="1"/>
    <col min="8204" max="8204" width="23.42578125" style="268" customWidth="1"/>
    <col min="8205" max="8205" width="16.7109375" style="268" customWidth="1"/>
    <col min="8206" max="8206" width="21.7109375" style="268" customWidth="1"/>
    <col min="8207" max="8448" width="11.42578125" style="268"/>
    <col min="8449" max="8449" width="3.42578125" style="268" customWidth="1"/>
    <col min="8450" max="8450" width="23.7109375" style="268" customWidth="1"/>
    <col min="8451" max="8451" width="22.42578125" style="268" customWidth="1"/>
    <col min="8452" max="8452" width="25" style="268" customWidth="1"/>
    <col min="8453" max="8453" width="24" style="268" customWidth="1"/>
    <col min="8454" max="8454" width="28.42578125" style="268" customWidth="1"/>
    <col min="8455" max="8455" width="20.42578125" style="268" customWidth="1"/>
    <col min="8456" max="8456" width="18.140625" style="268" customWidth="1"/>
    <col min="8457" max="8457" width="18.7109375" style="268" customWidth="1"/>
    <col min="8458" max="8458" width="18.42578125" style="268" customWidth="1"/>
    <col min="8459" max="8459" width="19.28515625" style="268" customWidth="1"/>
    <col min="8460" max="8460" width="23.42578125" style="268" customWidth="1"/>
    <col min="8461" max="8461" width="16.7109375" style="268" customWidth="1"/>
    <col min="8462" max="8462" width="21.7109375" style="268" customWidth="1"/>
    <col min="8463" max="8704" width="11.42578125" style="268"/>
    <col min="8705" max="8705" width="3.42578125" style="268" customWidth="1"/>
    <col min="8706" max="8706" width="23.7109375" style="268" customWidth="1"/>
    <col min="8707" max="8707" width="22.42578125" style="268" customWidth="1"/>
    <col min="8708" max="8708" width="25" style="268" customWidth="1"/>
    <col min="8709" max="8709" width="24" style="268" customWidth="1"/>
    <col min="8710" max="8710" width="28.42578125" style="268" customWidth="1"/>
    <col min="8711" max="8711" width="20.42578125" style="268" customWidth="1"/>
    <col min="8712" max="8712" width="18.140625" style="268" customWidth="1"/>
    <col min="8713" max="8713" width="18.7109375" style="268" customWidth="1"/>
    <col min="8714" max="8714" width="18.42578125" style="268" customWidth="1"/>
    <col min="8715" max="8715" width="19.28515625" style="268" customWidth="1"/>
    <col min="8716" max="8716" width="23.42578125" style="268" customWidth="1"/>
    <col min="8717" max="8717" width="16.7109375" style="268" customWidth="1"/>
    <col min="8718" max="8718" width="21.7109375" style="268" customWidth="1"/>
    <col min="8719" max="8960" width="11.42578125" style="268"/>
    <col min="8961" max="8961" width="3.42578125" style="268" customWidth="1"/>
    <col min="8962" max="8962" width="23.7109375" style="268" customWidth="1"/>
    <col min="8963" max="8963" width="22.42578125" style="268" customWidth="1"/>
    <col min="8964" max="8964" width="25" style="268" customWidth="1"/>
    <col min="8965" max="8965" width="24" style="268" customWidth="1"/>
    <col min="8966" max="8966" width="28.42578125" style="268" customWidth="1"/>
    <col min="8967" max="8967" width="20.42578125" style="268" customWidth="1"/>
    <col min="8968" max="8968" width="18.140625" style="268" customWidth="1"/>
    <col min="8969" max="8969" width="18.7109375" style="268" customWidth="1"/>
    <col min="8970" max="8970" width="18.42578125" style="268" customWidth="1"/>
    <col min="8971" max="8971" width="19.28515625" style="268" customWidth="1"/>
    <col min="8972" max="8972" width="23.42578125" style="268" customWidth="1"/>
    <col min="8973" max="8973" width="16.7109375" style="268" customWidth="1"/>
    <col min="8974" max="8974" width="21.7109375" style="268" customWidth="1"/>
    <col min="8975" max="9216" width="11.42578125" style="268"/>
    <col min="9217" max="9217" width="3.42578125" style="268" customWidth="1"/>
    <col min="9218" max="9218" width="23.7109375" style="268" customWidth="1"/>
    <col min="9219" max="9219" width="22.42578125" style="268" customWidth="1"/>
    <col min="9220" max="9220" width="25" style="268" customWidth="1"/>
    <col min="9221" max="9221" width="24" style="268" customWidth="1"/>
    <col min="9222" max="9222" width="28.42578125" style="268" customWidth="1"/>
    <col min="9223" max="9223" width="20.42578125" style="268" customWidth="1"/>
    <col min="9224" max="9224" width="18.140625" style="268" customWidth="1"/>
    <col min="9225" max="9225" width="18.7109375" style="268" customWidth="1"/>
    <col min="9226" max="9226" width="18.42578125" style="268" customWidth="1"/>
    <col min="9227" max="9227" width="19.28515625" style="268" customWidth="1"/>
    <col min="9228" max="9228" width="23.42578125" style="268" customWidth="1"/>
    <col min="9229" max="9229" width="16.7109375" style="268" customWidth="1"/>
    <col min="9230" max="9230" width="21.7109375" style="268" customWidth="1"/>
    <col min="9231" max="9472" width="11.42578125" style="268"/>
    <col min="9473" max="9473" width="3.42578125" style="268" customWidth="1"/>
    <col min="9474" max="9474" width="23.7109375" style="268" customWidth="1"/>
    <col min="9475" max="9475" width="22.42578125" style="268" customWidth="1"/>
    <col min="9476" max="9476" width="25" style="268" customWidth="1"/>
    <col min="9477" max="9477" width="24" style="268" customWidth="1"/>
    <col min="9478" max="9478" width="28.42578125" style="268" customWidth="1"/>
    <col min="9479" max="9479" width="20.42578125" style="268" customWidth="1"/>
    <col min="9480" max="9480" width="18.140625" style="268" customWidth="1"/>
    <col min="9481" max="9481" width="18.7109375" style="268" customWidth="1"/>
    <col min="9482" max="9482" width="18.42578125" style="268" customWidth="1"/>
    <col min="9483" max="9483" width="19.28515625" style="268" customWidth="1"/>
    <col min="9484" max="9484" width="23.42578125" style="268" customWidth="1"/>
    <col min="9485" max="9485" width="16.7109375" style="268" customWidth="1"/>
    <col min="9486" max="9486" width="21.7109375" style="268" customWidth="1"/>
    <col min="9487" max="9728" width="11.42578125" style="268"/>
    <col min="9729" max="9729" width="3.42578125" style="268" customWidth="1"/>
    <col min="9730" max="9730" width="23.7109375" style="268" customWidth="1"/>
    <col min="9731" max="9731" width="22.42578125" style="268" customWidth="1"/>
    <col min="9732" max="9732" width="25" style="268" customWidth="1"/>
    <col min="9733" max="9733" width="24" style="268" customWidth="1"/>
    <col min="9734" max="9734" width="28.42578125" style="268" customWidth="1"/>
    <col min="9735" max="9735" width="20.42578125" style="268" customWidth="1"/>
    <col min="9736" max="9736" width="18.140625" style="268" customWidth="1"/>
    <col min="9737" max="9737" width="18.7109375" style="268" customWidth="1"/>
    <col min="9738" max="9738" width="18.42578125" style="268" customWidth="1"/>
    <col min="9739" max="9739" width="19.28515625" style="268" customWidth="1"/>
    <col min="9740" max="9740" width="23.42578125" style="268" customWidth="1"/>
    <col min="9741" max="9741" width="16.7109375" style="268" customWidth="1"/>
    <col min="9742" max="9742" width="21.7109375" style="268" customWidth="1"/>
    <col min="9743" max="9984" width="11.42578125" style="268"/>
    <col min="9985" max="9985" width="3.42578125" style="268" customWidth="1"/>
    <col min="9986" max="9986" width="23.7109375" style="268" customWidth="1"/>
    <col min="9987" max="9987" width="22.42578125" style="268" customWidth="1"/>
    <col min="9988" max="9988" width="25" style="268" customWidth="1"/>
    <col min="9989" max="9989" width="24" style="268" customWidth="1"/>
    <col min="9990" max="9990" width="28.42578125" style="268" customWidth="1"/>
    <col min="9991" max="9991" width="20.42578125" style="268" customWidth="1"/>
    <col min="9992" max="9992" width="18.140625" style="268" customWidth="1"/>
    <col min="9993" max="9993" width="18.7109375" style="268" customWidth="1"/>
    <col min="9994" max="9994" width="18.42578125" style="268" customWidth="1"/>
    <col min="9995" max="9995" width="19.28515625" style="268" customWidth="1"/>
    <col min="9996" max="9996" width="23.42578125" style="268" customWidth="1"/>
    <col min="9997" max="9997" width="16.7109375" style="268" customWidth="1"/>
    <col min="9998" max="9998" width="21.7109375" style="268" customWidth="1"/>
    <col min="9999" max="10240" width="11.42578125" style="268"/>
    <col min="10241" max="10241" width="3.42578125" style="268" customWidth="1"/>
    <col min="10242" max="10242" width="23.7109375" style="268" customWidth="1"/>
    <col min="10243" max="10243" width="22.42578125" style="268" customWidth="1"/>
    <col min="10244" max="10244" width="25" style="268" customWidth="1"/>
    <col min="10245" max="10245" width="24" style="268" customWidth="1"/>
    <col min="10246" max="10246" width="28.42578125" style="268" customWidth="1"/>
    <col min="10247" max="10247" width="20.42578125" style="268" customWidth="1"/>
    <col min="10248" max="10248" width="18.140625" style="268" customWidth="1"/>
    <col min="10249" max="10249" width="18.7109375" style="268" customWidth="1"/>
    <col min="10250" max="10250" width="18.42578125" style="268" customWidth="1"/>
    <col min="10251" max="10251" width="19.28515625" style="268" customWidth="1"/>
    <col min="10252" max="10252" width="23.42578125" style="268" customWidth="1"/>
    <col min="10253" max="10253" width="16.7109375" style="268" customWidth="1"/>
    <col min="10254" max="10254" width="21.7109375" style="268" customWidth="1"/>
    <col min="10255" max="10496" width="11.42578125" style="268"/>
    <col min="10497" max="10497" width="3.42578125" style="268" customWidth="1"/>
    <col min="10498" max="10498" width="23.7109375" style="268" customWidth="1"/>
    <col min="10499" max="10499" width="22.42578125" style="268" customWidth="1"/>
    <col min="10500" max="10500" width="25" style="268" customWidth="1"/>
    <col min="10501" max="10501" width="24" style="268" customWidth="1"/>
    <col min="10502" max="10502" width="28.42578125" style="268" customWidth="1"/>
    <col min="10503" max="10503" width="20.42578125" style="268" customWidth="1"/>
    <col min="10504" max="10504" width="18.140625" style="268" customWidth="1"/>
    <col min="10505" max="10505" width="18.7109375" style="268" customWidth="1"/>
    <col min="10506" max="10506" width="18.42578125" style="268" customWidth="1"/>
    <col min="10507" max="10507" width="19.28515625" style="268" customWidth="1"/>
    <col min="10508" max="10508" width="23.42578125" style="268" customWidth="1"/>
    <col min="10509" max="10509" width="16.7109375" style="268" customWidth="1"/>
    <col min="10510" max="10510" width="21.7109375" style="268" customWidth="1"/>
    <col min="10511" max="10752" width="11.42578125" style="268"/>
    <col min="10753" max="10753" width="3.42578125" style="268" customWidth="1"/>
    <col min="10754" max="10754" width="23.7109375" style="268" customWidth="1"/>
    <col min="10755" max="10755" width="22.42578125" style="268" customWidth="1"/>
    <col min="10756" max="10756" width="25" style="268" customWidth="1"/>
    <col min="10757" max="10757" width="24" style="268" customWidth="1"/>
    <col min="10758" max="10758" width="28.42578125" style="268" customWidth="1"/>
    <col min="10759" max="10759" width="20.42578125" style="268" customWidth="1"/>
    <col min="10760" max="10760" width="18.140625" style="268" customWidth="1"/>
    <col min="10761" max="10761" width="18.7109375" style="268" customWidth="1"/>
    <col min="10762" max="10762" width="18.42578125" style="268" customWidth="1"/>
    <col min="10763" max="10763" width="19.28515625" style="268" customWidth="1"/>
    <col min="10764" max="10764" width="23.42578125" style="268" customWidth="1"/>
    <col min="10765" max="10765" width="16.7109375" style="268" customWidth="1"/>
    <col min="10766" max="10766" width="21.7109375" style="268" customWidth="1"/>
    <col min="10767" max="11008" width="11.42578125" style="268"/>
    <col min="11009" max="11009" width="3.42578125" style="268" customWidth="1"/>
    <col min="11010" max="11010" width="23.7109375" style="268" customWidth="1"/>
    <col min="11011" max="11011" width="22.42578125" style="268" customWidth="1"/>
    <col min="11012" max="11012" width="25" style="268" customWidth="1"/>
    <col min="11013" max="11013" width="24" style="268" customWidth="1"/>
    <col min="11014" max="11014" width="28.42578125" style="268" customWidth="1"/>
    <col min="11015" max="11015" width="20.42578125" style="268" customWidth="1"/>
    <col min="11016" max="11016" width="18.140625" style="268" customWidth="1"/>
    <col min="11017" max="11017" width="18.7109375" style="268" customWidth="1"/>
    <col min="11018" max="11018" width="18.42578125" style="268" customWidth="1"/>
    <col min="11019" max="11019" width="19.28515625" style="268" customWidth="1"/>
    <col min="11020" max="11020" width="23.42578125" style="268" customWidth="1"/>
    <col min="11021" max="11021" width="16.7109375" style="268" customWidth="1"/>
    <col min="11022" max="11022" width="21.7109375" style="268" customWidth="1"/>
    <col min="11023" max="11264" width="11.42578125" style="268"/>
    <col min="11265" max="11265" width="3.42578125" style="268" customWidth="1"/>
    <col min="11266" max="11266" width="23.7109375" style="268" customWidth="1"/>
    <col min="11267" max="11267" width="22.42578125" style="268" customWidth="1"/>
    <col min="11268" max="11268" width="25" style="268" customWidth="1"/>
    <col min="11269" max="11269" width="24" style="268" customWidth="1"/>
    <col min="11270" max="11270" width="28.42578125" style="268" customWidth="1"/>
    <col min="11271" max="11271" width="20.42578125" style="268" customWidth="1"/>
    <col min="11272" max="11272" width="18.140625" style="268" customWidth="1"/>
    <col min="11273" max="11273" width="18.7109375" style="268" customWidth="1"/>
    <col min="11274" max="11274" width="18.42578125" style="268" customWidth="1"/>
    <col min="11275" max="11275" width="19.28515625" style="268" customWidth="1"/>
    <col min="11276" max="11276" width="23.42578125" style="268" customWidth="1"/>
    <col min="11277" max="11277" width="16.7109375" style="268" customWidth="1"/>
    <col min="11278" max="11278" width="21.7109375" style="268" customWidth="1"/>
    <col min="11279" max="11520" width="11.42578125" style="268"/>
    <col min="11521" max="11521" width="3.42578125" style="268" customWidth="1"/>
    <col min="11522" max="11522" width="23.7109375" style="268" customWidth="1"/>
    <col min="11523" max="11523" width="22.42578125" style="268" customWidth="1"/>
    <col min="11524" max="11524" width="25" style="268" customWidth="1"/>
    <col min="11525" max="11525" width="24" style="268" customWidth="1"/>
    <col min="11526" max="11526" width="28.42578125" style="268" customWidth="1"/>
    <col min="11527" max="11527" width="20.42578125" style="268" customWidth="1"/>
    <col min="11528" max="11528" width="18.140625" style="268" customWidth="1"/>
    <col min="11529" max="11529" width="18.7109375" style="268" customWidth="1"/>
    <col min="11530" max="11530" width="18.42578125" style="268" customWidth="1"/>
    <col min="11531" max="11531" width="19.28515625" style="268" customWidth="1"/>
    <col min="11532" max="11532" width="23.42578125" style="268" customWidth="1"/>
    <col min="11533" max="11533" width="16.7109375" style="268" customWidth="1"/>
    <col min="11534" max="11534" width="21.7109375" style="268" customWidth="1"/>
    <col min="11535" max="11776" width="11.42578125" style="268"/>
    <col min="11777" max="11777" width="3.42578125" style="268" customWidth="1"/>
    <col min="11778" max="11778" width="23.7109375" style="268" customWidth="1"/>
    <col min="11779" max="11779" width="22.42578125" style="268" customWidth="1"/>
    <col min="11780" max="11780" width="25" style="268" customWidth="1"/>
    <col min="11781" max="11781" width="24" style="268" customWidth="1"/>
    <col min="11782" max="11782" width="28.42578125" style="268" customWidth="1"/>
    <col min="11783" max="11783" width="20.42578125" style="268" customWidth="1"/>
    <col min="11784" max="11784" width="18.140625" style="268" customWidth="1"/>
    <col min="11785" max="11785" width="18.7109375" style="268" customWidth="1"/>
    <col min="11786" max="11786" width="18.42578125" style="268" customWidth="1"/>
    <col min="11787" max="11787" width="19.28515625" style="268" customWidth="1"/>
    <col min="11788" max="11788" width="23.42578125" style="268" customWidth="1"/>
    <col min="11789" max="11789" width="16.7109375" style="268" customWidth="1"/>
    <col min="11790" max="11790" width="21.7109375" style="268" customWidth="1"/>
    <col min="11791" max="12032" width="11.42578125" style="268"/>
    <col min="12033" max="12033" width="3.42578125" style="268" customWidth="1"/>
    <col min="12034" max="12034" width="23.7109375" style="268" customWidth="1"/>
    <col min="12035" max="12035" width="22.42578125" style="268" customWidth="1"/>
    <col min="12036" max="12036" width="25" style="268" customWidth="1"/>
    <col min="12037" max="12037" width="24" style="268" customWidth="1"/>
    <col min="12038" max="12038" width="28.42578125" style="268" customWidth="1"/>
    <col min="12039" max="12039" width="20.42578125" style="268" customWidth="1"/>
    <col min="12040" max="12040" width="18.140625" style="268" customWidth="1"/>
    <col min="12041" max="12041" width="18.7109375" style="268" customWidth="1"/>
    <col min="12042" max="12042" width="18.42578125" style="268" customWidth="1"/>
    <col min="12043" max="12043" width="19.28515625" style="268" customWidth="1"/>
    <col min="12044" max="12044" width="23.42578125" style="268" customWidth="1"/>
    <col min="12045" max="12045" width="16.7109375" style="268" customWidth="1"/>
    <col min="12046" max="12046" width="21.7109375" style="268" customWidth="1"/>
    <col min="12047" max="12288" width="11.42578125" style="268"/>
    <col min="12289" max="12289" width="3.42578125" style="268" customWidth="1"/>
    <col min="12290" max="12290" width="23.7109375" style="268" customWidth="1"/>
    <col min="12291" max="12291" width="22.42578125" style="268" customWidth="1"/>
    <col min="12292" max="12292" width="25" style="268" customWidth="1"/>
    <col min="12293" max="12293" width="24" style="268" customWidth="1"/>
    <col min="12294" max="12294" width="28.42578125" style="268" customWidth="1"/>
    <col min="12295" max="12295" width="20.42578125" style="268" customWidth="1"/>
    <col min="12296" max="12296" width="18.140625" style="268" customWidth="1"/>
    <col min="12297" max="12297" width="18.7109375" style="268" customWidth="1"/>
    <col min="12298" max="12298" width="18.42578125" style="268" customWidth="1"/>
    <col min="12299" max="12299" width="19.28515625" style="268" customWidth="1"/>
    <col min="12300" max="12300" width="23.42578125" style="268" customWidth="1"/>
    <col min="12301" max="12301" width="16.7109375" style="268" customWidth="1"/>
    <col min="12302" max="12302" width="21.7109375" style="268" customWidth="1"/>
    <col min="12303" max="12544" width="11.42578125" style="268"/>
    <col min="12545" max="12545" width="3.42578125" style="268" customWidth="1"/>
    <col min="12546" max="12546" width="23.7109375" style="268" customWidth="1"/>
    <col min="12547" max="12547" width="22.42578125" style="268" customWidth="1"/>
    <col min="12548" max="12548" width="25" style="268" customWidth="1"/>
    <col min="12549" max="12549" width="24" style="268" customWidth="1"/>
    <col min="12550" max="12550" width="28.42578125" style="268" customWidth="1"/>
    <col min="12551" max="12551" width="20.42578125" style="268" customWidth="1"/>
    <col min="12552" max="12552" width="18.140625" style="268" customWidth="1"/>
    <col min="12553" max="12553" width="18.7109375" style="268" customWidth="1"/>
    <col min="12554" max="12554" width="18.42578125" style="268" customWidth="1"/>
    <col min="12555" max="12555" width="19.28515625" style="268" customWidth="1"/>
    <col min="12556" max="12556" width="23.42578125" style="268" customWidth="1"/>
    <col min="12557" max="12557" width="16.7109375" style="268" customWidth="1"/>
    <col min="12558" max="12558" width="21.7109375" style="268" customWidth="1"/>
    <col min="12559" max="12800" width="11.42578125" style="268"/>
    <col min="12801" max="12801" width="3.42578125" style="268" customWidth="1"/>
    <col min="12802" max="12802" width="23.7109375" style="268" customWidth="1"/>
    <col min="12803" max="12803" width="22.42578125" style="268" customWidth="1"/>
    <col min="12804" max="12804" width="25" style="268" customWidth="1"/>
    <col min="12805" max="12805" width="24" style="268" customWidth="1"/>
    <col min="12806" max="12806" width="28.42578125" style="268" customWidth="1"/>
    <col min="12807" max="12807" width="20.42578125" style="268" customWidth="1"/>
    <col min="12808" max="12808" width="18.140625" style="268" customWidth="1"/>
    <col min="12809" max="12809" width="18.7109375" style="268" customWidth="1"/>
    <col min="12810" max="12810" width="18.42578125" style="268" customWidth="1"/>
    <col min="12811" max="12811" width="19.28515625" style="268" customWidth="1"/>
    <col min="12812" max="12812" width="23.42578125" style="268" customWidth="1"/>
    <col min="12813" max="12813" width="16.7109375" style="268" customWidth="1"/>
    <col min="12814" max="12814" width="21.7109375" style="268" customWidth="1"/>
    <col min="12815" max="13056" width="11.42578125" style="268"/>
    <col min="13057" max="13057" width="3.42578125" style="268" customWidth="1"/>
    <col min="13058" max="13058" width="23.7109375" style="268" customWidth="1"/>
    <col min="13059" max="13059" width="22.42578125" style="268" customWidth="1"/>
    <col min="13060" max="13060" width="25" style="268" customWidth="1"/>
    <col min="13061" max="13061" width="24" style="268" customWidth="1"/>
    <col min="13062" max="13062" width="28.42578125" style="268" customWidth="1"/>
    <col min="13063" max="13063" width="20.42578125" style="268" customWidth="1"/>
    <col min="13064" max="13064" width="18.140625" style="268" customWidth="1"/>
    <col min="13065" max="13065" width="18.7109375" style="268" customWidth="1"/>
    <col min="13066" max="13066" width="18.42578125" style="268" customWidth="1"/>
    <col min="13067" max="13067" width="19.28515625" style="268" customWidth="1"/>
    <col min="13068" max="13068" width="23.42578125" style="268" customWidth="1"/>
    <col min="13069" max="13069" width="16.7109375" style="268" customWidth="1"/>
    <col min="13070" max="13070" width="21.7109375" style="268" customWidth="1"/>
    <col min="13071" max="13312" width="11.42578125" style="268"/>
    <col min="13313" max="13313" width="3.42578125" style="268" customWidth="1"/>
    <col min="13314" max="13314" width="23.7109375" style="268" customWidth="1"/>
    <col min="13315" max="13315" width="22.42578125" style="268" customWidth="1"/>
    <col min="13316" max="13316" width="25" style="268" customWidth="1"/>
    <col min="13317" max="13317" width="24" style="268" customWidth="1"/>
    <col min="13318" max="13318" width="28.42578125" style="268" customWidth="1"/>
    <col min="13319" max="13319" width="20.42578125" style="268" customWidth="1"/>
    <col min="13320" max="13320" width="18.140625" style="268" customWidth="1"/>
    <col min="13321" max="13321" width="18.7109375" style="268" customWidth="1"/>
    <col min="13322" max="13322" width="18.42578125" style="268" customWidth="1"/>
    <col min="13323" max="13323" width="19.28515625" style="268" customWidth="1"/>
    <col min="13324" max="13324" width="23.42578125" style="268" customWidth="1"/>
    <col min="13325" max="13325" width="16.7109375" style="268" customWidth="1"/>
    <col min="13326" max="13326" width="21.7109375" style="268" customWidth="1"/>
    <col min="13327" max="13568" width="11.42578125" style="268"/>
    <col min="13569" max="13569" width="3.42578125" style="268" customWidth="1"/>
    <col min="13570" max="13570" width="23.7109375" style="268" customWidth="1"/>
    <col min="13571" max="13571" width="22.42578125" style="268" customWidth="1"/>
    <col min="13572" max="13572" width="25" style="268" customWidth="1"/>
    <col min="13573" max="13573" width="24" style="268" customWidth="1"/>
    <col min="13574" max="13574" width="28.42578125" style="268" customWidth="1"/>
    <col min="13575" max="13575" width="20.42578125" style="268" customWidth="1"/>
    <col min="13576" max="13576" width="18.140625" style="268" customWidth="1"/>
    <col min="13577" max="13577" width="18.7109375" style="268" customWidth="1"/>
    <col min="13578" max="13578" width="18.42578125" style="268" customWidth="1"/>
    <col min="13579" max="13579" width="19.28515625" style="268" customWidth="1"/>
    <col min="13580" max="13580" width="23.42578125" style="268" customWidth="1"/>
    <col min="13581" max="13581" width="16.7109375" style="268" customWidth="1"/>
    <col min="13582" max="13582" width="21.7109375" style="268" customWidth="1"/>
    <col min="13583" max="13824" width="11.42578125" style="268"/>
    <col min="13825" max="13825" width="3.42578125" style="268" customWidth="1"/>
    <col min="13826" max="13826" width="23.7109375" style="268" customWidth="1"/>
    <col min="13827" max="13827" width="22.42578125" style="268" customWidth="1"/>
    <col min="13828" max="13828" width="25" style="268" customWidth="1"/>
    <col min="13829" max="13829" width="24" style="268" customWidth="1"/>
    <col min="13830" max="13830" width="28.42578125" style="268" customWidth="1"/>
    <col min="13831" max="13831" width="20.42578125" style="268" customWidth="1"/>
    <col min="13832" max="13832" width="18.140625" style="268" customWidth="1"/>
    <col min="13833" max="13833" width="18.7109375" style="268" customWidth="1"/>
    <col min="13834" max="13834" width="18.42578125" style="268" customWidth="1"/>
    <col min="13835" max="13835" width="19.28515625" style="268" customWidth="1"/>
    <col min="13836" max="13836" width="23.42578125" style="268" customWidth="1"/>
    <col min="13837" max="13837" width="16.7109375" style="268" customWidth="1"/>
    <col min="13838" max="13838" width="21.7109375" style="268" customWidth="1"/>
    <col min="13839" max="14080" width="11.42578125" style="268"/>
    <col min="14081" max="14081" width="3.42578125" style="268" customWidth="1"/>
    <col min="14082" max="14082" width="23.7109375" style="268" customWidth="1"/>
    <col min="14083" max="14083" width="22.42578125" style="268" customWidth="1"/>
    <col min="14084" max="14084" width="25" style="268" customWidth="1"/>
    <col min="14085" max="14085" width="24" style="268" customWidth="1"/>
    <col min="14086" max="14086" width="28.42578125" style="268" customWidth="1"/>
    <col min="14087" max="14087" width="20.42578125" style="268" customWidth="1"/>
    <col min="14088" max="14088" width="18.140625" style="268" customWidth="1"/>
    <col min="14089" max="14089" width="18.7109375" style="268" customWidth="1"/>
    <col min="14090" max="14090" width="18.42578125" style="268" customWidth="1"/>
    <col min="14091" max="14091" width="19.28515625" style="268" customWidth="1"/>
    <col min="14092" max="14092" width="23.42578125" style="268" customWidth="1"/>
    <col min="14093" max="14093" width="16.7109375" style="268" customWidth="1"/>
    <col min="14094" max="14094" width="21.7109375" style="268" customWidth="1"/>
    <col min="14095" max="14336" width="11.42578125" style="268"/>
    <col min="14337" max="14337" width="3.42578125" style="268" customWidth="1"/>
    <col min="14338" max="14338" width="23.7109375" style="268" customWidth="1"/>
    <col min="14339" max="14339" width="22.42578125" style="268" customWidth="1"/>
    <col min="14340" max="14340" width="25" style="268" customWidth="1"/>
    <col min="14341" max="14341" width="24" style="268" customWidth="1"/>
    <col min="14342" max="14342" width="28.42578125" style="268" customWidth="1"/>
    <col min="14343" max="14343" width="20.42578125" style="268" customWidth="1"/>
    <col min="14344" max="14344" width="18.140625" style="268" customWidth="1"/>
    <col min="14345" max="14345" width="18.7109375" style="268" customWidth="1"/>
    <col min="14346" max="14346" width="18.42578125" style="268" customWidth="1"/>
    <col min="14347" max="14347" width="19.28515625" style="268" customWidth="1"/>
    <col min="14348" max="14348" width="23.42578125" style="268" customWidth="1"/>
    <col min="14349" max="14349" width="16.7109375" style="268" customWidth="1"/>
    <col min="14350" max="14350" width="21.7109375" style="268" customWidth="1"/>
    <col min="14351" max="14592" width="11.42578125" style="268"/>
    <col min="14593" max="14593" width="3.42578125" style="268" customWidth="1"/>
    <col min="14594" max="14594" width="23.7109375" style="268" customWidth="1"/>
    <col min="14595" max="14595" width="22.42578125" style="268" customWidth="1"/>
    <col min="14596" max="14596" width="25" style="268" customWidth="1"/>
    <col min="14597" max="14597" width="24" style="268" customWidth="1"/>
    <col min="14598" max="14598" width="28.42578125" style="268" customWidth="1"/>
    <col min="14599" max="14599" width="20.42578125" style="268" customWidth="1"/>
    <col min="14600" max="14600" width="18.140625" style="268" customWidth="1"/>
    <col min="14601" max="14601" width="18.7109375" style="268" customWidth="1"/>
    <col min="14602" max="14602" width="18.42578125" style="268" customWidth="1"/>
    <col min="14603" max="14603" width="19.28515625" style="268" customWidth="1"/>
    <col min="14604" max="14604" width="23.42578125" style="268" customWidth="1"/>
    <col min="14605" max="14605" width="16.7109375" style="268" customWidth="1"/>
    <col min="14606" max="14606" width="21.7109375" style="268" customWidth="1"/>
    <col min="14607" max="14848" width="11.42578125" style="268"/>
    <col min="14849" max="14849" width="3.42578125" style="268" customWidth="1"/>
    <col min="14850" max="14850" width="23.7109375" style="268" customWidth="1"/>
    <col min="14851" max="14851" width="22.42578125" style="268" customWidth="1"/>
    <col min="14852" max="14852" width="25" style="268" customWidth="1"/>
    <col min="14853" max="14853" width="24" style="268" customWidth="1"/>
    <col min="14854" max="14854" width="28.42578125" style="268" customWidth="1"/>
    <col min="14855" max="14855" width="20.42578125" style="268" customWidth="1"/>
    <col min="14856" max="14856" width="18.140625" style="268" customWidth="1"/>
    <col min="14857" max="14857" width="18.7109375" style="268" customWidth="1"/>
    <col min="14858" max="14858" width="18.42578125" style="268" customWidth="1"/>
    <col min="14859" max="14859" width="19.28515625" style="268" customWidth="1"/>
    <col min="14860" max="14860" width="23.42578125" style="268" customWidth="1"/>
    <col min="14861" max="14861" width="16.7109375" style="268" customWidth="1"/>
    <col min="14862" max="14862" width="21.7109375" style="268" customWidth="1"/>
    <col min="14863" max="15104" width="11.42578125" style="268"/>
    <col min="15105" max="15105" width="3.42578125" style="268" customWidth="1"/>
    <col min="15106" max="15106" width="23.7109375" style="268" customWidth="1"/>
    <col min="15107" max="15107" width="22.42578125" style="268" customWidth="1"/>
    <col min="15108" max="15108" width="25" style="268" customWidth="1"/>
    <col min="15109" max="15109" width="24" style="268" customWidth="1"/>
    <col min="15110" max="15110" width="28.42578125" style="268" customWidth="1"/>
    <col min="15111" max="15111" width="20.42578125" style="268" customWidth="1"/>
    <col min="15112" max="15112" width="18.140625" style="268" customWidth="1"/>
    <col min="15113" max="15113" width="18.7109375" style="268" customWidth="1"/>
    <col min="15114" max="15114" width="18.42578125" style="268" customWidth="1"/>
    <col min="15115" max="15115" width="19.28515625" style="268" customWidth="1"/>
    <col min="15116" max="15116" width="23.42578125" style="268" customWidth="1"/>
    <col min="15117" max="15117" width="16.7109375" style="268" customWidth="1"/>
    <col min="15118" max="15118" width="21.7109375" style="268" customWidth="1"/>
    <col min="15119" max="15360" width="11.42578125" style="268"/>
    <col min="15361" max="15361" width="3.42578125" style="268" customWidth="1"/>
    <col min="15362" max="15362" width="23.7109375" style="268" customWidth="1"/>
    <col min="15363" max="15363" width="22.42578125" style="268" customWidth="1"/>
    <col min="15364" max="15364" width="25" style="268" customWidth="1"/>
    <col min="15365" max="15365" width="24" style="268" customWidth="1"/>
    <col min="15366" max="15366" width="28.42578125" style="268" customWidth="1"/>
    <col min="15367" max="15367" width="20.42578125" style="268" customWidth="1"/>
    <col min="15368" max="15368" width="18.140625" style="268" customWidth="1"/>
    <col min="15369" max="15369" width="18.7109375" style="268" customWidth="1"/>
    <col min="15370" max="15370" width="18.42578125" style="268" customWidth="1"/>
    <col min="15371" max="15371" width="19.28515625" style="268" customWidth="1"/>
    <col min="15372" max="15372" width="23.42578125" style="268" customWidth="1"/>
    <col min="15373" max="15373" width="16.7109375" style="268" customWidth="1"/>
    <col min="15374" max="15374" width="21.7109375" style="268" customWidth="1"/>
    <col min="15375" max="15616" width="11.42578125" style="268"/>
    <col min="15617" max="15617" width="3.42578125" style="268" customWidth="1"/>
    <col min="15618" max="15618" width="23.7109375" style="268" customWidth="1"/>
    <col min="15619" max="15619" width="22.42578125" style="268" customWidth="1"/>
    <col min="15620" max="15620" width="25" style="268" customWidth="1"/>
    <col min="15621" max="15621" width="24" style="268" customWidth="1"/>
    <col min="15622" max="15622" width="28.42578125" style="268" customWidth="1"/>
    <col min="15623" max="15623" width="20.42578125" style="268" customWidth="1"/>
    <col min="15624" max="15624" width="18.140625" style="268" customWidth="1"/>
    <col min="15625" max="15625" width="18.7109375" style="268" customWidth="1"/>
    <col min="15626" max="15626" width="18.42578125" style="268" customWidth="1"/>
    <col min="15627" max="15627" width="19.28515625" style="268" customWidth="1"/>
    <col min="15628" max="15628" width="23.42578125" style="268" customWidth="1"/>
    <col min="15629" max="15629" width="16.7109375" style="268" customWidth="1"/>
    <col min="15630" max="15630" width="21.7109375" style="268" customWidth="1"/>
    <col min="15631" max="15872" width="11.42578125" style="268"/>
    <col min="15873" max="15873" width="3.42578125" style="268" customWidth="1"/>
    <col min="15874" max="15874" width="23.7109375" style="268" customWidth="1"/>
    <col min="15875" max="15875" width="22.42578125" style="268" customWidth="1"/>
    <col min="15876" max="15876" width="25" style="268" customWidth="1"/>
    <col min="15877" max="15877" width="24" style="268" customWidth="1"/>
    <col min="15878" max="15878" width="28.42578125" style="268" customWidth="1"/>
    <col min="15879" max="15879" width="20.42578125" style="268" customWidth="1"/>
    <col min="15880" max="15880" width="18.140625" style="268" customWidth="1"/>
    <col min="15881" max="15881" width="18.7109375" style="268" customWidth="1"/>
    <col min="15882" max="15882" width="18.42578125" style="268" customWidth="1"/>
    <col min="15883" max="15883" width="19.28515625" style="268" customWidth="1"/>
    <col min="15884" max="15884" width="23.42578125" style="268" customWidth="1"/>
    <col min="15885" max="15885" width="16.7109375" style="268" customWidth="1"/>
    <col min="15886" max="15886" width="21.7109375" style="268" customWidth="1"/>
    <col min="15887" max="16128" width="11.42578125" style="268"/>
    <col min="16129" max="16129" width="3.42578125" style="268" customWidth="1"/>
    <col min="16130" max="16130" width="23.7109375" style="268" customWidth="1"/>
    <col min="16131" max="16131" width="22.42578125" style="268" customWidth="1"/>
    <col min="16132" max="16132" width="25" style="268" customWidth="1"/>
    <col min="16133" max="16133" width="24" style="268" customWidth="1"/>
    <col min="16134" max="16134" width="28.42578125" style="268" customWidth="1"/>
    <col min="16135" max="16135" width="20.42578125" style="268" customWidth="1"/>
    <col min="16136" max="16136" width="18.140625" style="268" customWidth="1"/>
    <col min="16137" max="16137" width="18.7109375" style="268" customWidth="1"/>
    <col min="16138" max="16138" width="18.42578125" style="268" customWidth="1"/>
    <col min="16139" max="16139" width="19.28515625" style="268" customWidth="1"/>
    <col min="16140" max="16140" width="23.42578125" style="268" customWidth="1"/>
    <col min="16141" max="16141" width="16.7109375" style="268" customWidth="1"/>
    <col min="16142" max="16142" width="21.7109375" style="268" customWidth="1"/>
    <col min="16143" max="16384" width="11.42578125" style="268"/>
  </cols>
  <sheetData>
    <row r="1" spans="2:19" s="11" customFormat="1" ht="36.75" customHeight="1" x14ac:dyDescent="0.2">
      <c r="B1" s="1955"/>
      <c r="C1" s="1957" t="s">
        <v>1599</v>
      </c>
      <c r="D1" s="1958"/>
      <c r="E1" s="1958"/>
      <c r="F1" s="1958"/>
      <c r="G1" s="1958"/>
      <c r="H1" s="1959"/>
      <c r="I1" s="977" t="s">
        <v>1600</v>
      </c>
    </row>
    <row r="2" spans="2:19" s="11" customFormat="1" ht="21" customHeight="1" x14ac:dyDescent="0.2">
      <c r="B2" s="1955"/>
      <c r="C2" s="1960"/>
      <c r="D2" s="1961"/>
      <c r="E2" s="1961"/>
      <c r="F2" s="1961"/>
      <c r="G2" s="1961"/>
      <c r="H2" s="1962"/>
      <c r="I2" s="977" t="s">
        <v>1731</v>
      </c>
    </row>
    <row r="3" spans="2:19" ht="18.75" customHeight="1" x14ac:dyDescent="0.25">
      <c r="B3" s="1937"/>
      <c r="C3" s="1956"/>
      <c r="D3" s="1956"/>
      <c r="E3" s="1956"/>
      <c r="F3" s="1956"/>
      <c r="G3" s="1956"/>
      <c r="H3" s="1956"/>
      <c r="I3" s="1956"/>
    </row>
    <row r="4" spans="2:19" ht="28.5" hidden="1" customHeight="1" x14ac:dyDescent="0.25">
      <c r="B4" s="1937"/>
      <c r="C4" s="1937"/>
      <c r="D4" s="1937"/>
      <c r="E4" s="1937"/>
      <c r="F4" s="1937"/>
      <c r="G4" s="1937"/>
      <c r="H4" s="1937"/>
      <c r="I4" s="1937"/>
    </row>
    <row r="5" spans="2:19" ht="29.25" customHeight="1" x14ac:dyDescent="0.25">
      <c r="B5" s="309" t="s">
        <v>118</v>
      </c>
      <c r="C5" s="1943" t="str">
        <f>+FENECIMIENTO!D4</f>
        <v xml:space="preserve">80000 - DIRECCIÓN SECTOR MOVILIDAD </v>
      </c>
      <c r="D5" s="1943"/>
      <c r="E5" s="1943"/>
      <c r="F5" s="1943"/>
      <c r="G5" s="1943"/>
      <c r="H5" s="1943"/>
      <c r="I5" s="1943"/>
      <c r="L5" s="309" t="str">
        <f>IF(C6="206 - Fondo de Prestaciones Económicas, Cesantías y Pensiones – FONCEP ","Dirección Sector:",IF(C6="262 - Empresa de Transporte del Tercer Milenio - Transmilenio S.A. ","Dirección Sector:",""))</f>
        <v>Dirección Sector:</v>
      </c>
      <c r="M5" s="1943" t="str">
        <f>IF(C6="206 - Fondo de Prestaciones Económicas, Cesantías y Pensiones – FONCEP ",FENECIMIENTO!D4,IF(C6="262 - Empresa de Transporte del Tercer Milenio - Transmilenio S.A. ",FENECIMIENTO!D4,""))</f>
        <v xml:space="preserve">80000 - DIRECCIÓN SECTOR MOVILIDAD </v>
      </c>
      <c r="N5" s="1943"/>
      <c r="O5" s="1943"/>
      <c r="P5" s="1943"/>
      <c r="Q5" s="1943"/>
      <c r="R5" s="1943"/>
      <c r="S5" s="1943"/>
    </row>
    <row r="6" spans="2:19" ht="45" customHeight="1" x14ac:dyDescent="0.25">
      <c r="B6" s="309" t="s">
        <v>1</v>
      </c>
      <c r="C6" s="1944" t="str">
        <f>+FENECIMIENTO!D5</f>
        <v xml:space="preserve">262 - Empresa de Transporte del Tercer Milenio - Transmilenio S.A. </v>
      </c>
      <c r="D6" s="1945"/>
      <c r="E6" s="1945"/>
      <c r="F6" s="310" t="s">
        <v>2</v>
      </c>
      <c r="G6" s="1946">
        <f>+FENECIMIENTO!K5</f>
        <v>2024</v>
      </c>
      <c r="H6" s="1946"/>
      <c r="I6" s="1946"/>
      <c r="L6" s="309" t="str">
        <f>IF(C6="206 - Fondo de Prestaciones Económicas, Cesantías y Pensiones – FONCEP ","Sujeto de Control auditado:",IF(C6="262 - Empresa de Transporte del Tercer Milenio - Transmilenio S.A. ","Sujeto de Control auditado:",""))</f>
        <v>Sujeto de Control auditado:</v>
      </c>
      <c r="M6" s="1944" t="str">
        <f>IF(C6="206 - Fondo de Prestaciones Económicas, Cesantías y Pensiones – FONCEP ","Fondo de Pensiones Públicas de Bogotá – FPPB",IF(C6="262 - Empresa de Transporte del Tercer Milenio - Transmilenio S.A. ","Sistema Intregado de Transporte Público-SITP",""))</f>
        <v>Sistema Intregado de Transporte Público-SITP</v>
      </c>
      <c r="N6" s="1945"/>
      <c r="O6" s="1945"/>
      <c r="P6" s="310" t="str">
        <f>IF(C6="206 - Fondo de Prestaciones Económicas, Cesantías y Pensiones – FONCEP ","Vigencia auditada:",IF(C6="262 - Empresa de Transporte del Tercer Milenio - Transmilenio S.A. ","Vigencia auditada:",""))</f>
        <v>Vigencia auditada:</v>
      </c>
      <c r="Q6" s="1946">
        <f>IF(C6="206 - Fondo de Prestaciones Económicas, Cesantías y Pensiones – FONCEP ",FENECIMIENTO!K5,IF(C6="262 - Empresa de Transporte del Tercer Milenio - Transmilenio S.A. ",FENECIMIENTO!K5,""))</f>
        <v>2024</v>
      </c>
      <c r="R6" s="1946"/>
      <c r="S6" s="1946"/>
    </row>
    <row r="7" spans="2:19" ht="29.25" customHeight="1" x14ac:dyDescent="0.25">
      <c r="B7" s="309" t="s">
        <v>1590</v>
      </c>
      <c r="C7" s="1947">
        <f>+FENECIMIENTO!D6</f>
        <v>2025</v>
      </c>
      <c r="D7" s="1947"/>
      <c r="E7" s="1947"/>
      <c r="F7" s="310" t="s">
        <v>676</v>
      </c>
      <c r="G7" s="1946">
        <f>+FENECIMIENTO!K6</f>
        <v>87</v>
      </c>
      <c r="H7" s="1946"/>
      <c r="I7" s="1946"/>
      <c r="L7" s="309" t="str">
        <f>IF(C6="206 - Fondo de Prestaciones Económicas, Cesantías y Pensiones – FONCEP ","PDVCF:",IF(C6="262 - Empresa de Transporte del Tercer Milenio - Transmilenio S.A. ","PDVCF:",""))</f>
        <v>PDVCF:</v>
      </c>
      <c r="M7" s="1947">
        <f>IF(C6="206 - Fondo de Prestaciones Económicas, Cesantías y Pensiones – FONCEP ",FENECIMIENTO!D6,IF(C6="262 - Empresa de Transporte del Tercer Milenio - Transmilenio S.A. ",FENECIMIENTO!D6,""))</f>
        <v>2025</v>
      </c>
      <c r="N7" s="1947"/>
      <c r="O7" s="1947"/>
      <c r="P7" s="310" t="str">
        <f>IF(C6="206 - Fondo de Prestaciones Económicas, Cesantías y Pensiones – FONCEP ","Código de Auditoría:",IF(C6="262 - Empresa de Transporte del Tercer Milenio - Transmilenio S.A. ","Código de Auditoría:",""))</f>
        <v>Código de Auditoría:</v>
      </c>
      <c r="Q7" s="1946">
        <f>IF(C6="206 - Fondo de Prestaciones Económicas, Cesantías y Pensiones – FONCEP ",FENECIMIENTO!K6,IF(C6="262 - Empresa de Transporte del Tercer Milenio - Transmilenio S.A. ",FENECIMIENTO!K6,""))</f>
        <v>87</v>
      </c>
      <c r="R7" s="1946"/>
      <c r="S7" s="1946"/>
    </row>
    <row r="8" spans="2:19" ht="29.25" customHeight="1" x14ac:dyDescent="0.25">
      <c r="C8" s="311"/>
      <c r="D8" s="311"/>
      <c r="E8" s="311"/>
      <c r="F8" s="312"/>
      <c r="G8" s="931"/>
      <c r="H8" s="931"/>
      <c r="I8" s="931"/>
      <c r="M8" s="1396"/>
      <c r="N8" s="1396"/>
      <c r="O8" s="1396"/>
      <c r="P8" s="312"/>
      <c r="Q8" s="931"/>
      <c r="R8" s="931"/>
      <c r="S8" s="931"/>
    </row>
    <row r="9" spans="2:19" s="11" customFormat="1" ht="33" customHeight="1" x14ac:dyDescent="0.2">
      <c r="B9" s="1950" t="s">
        <v>677</v>
      </c>
      <c r="C9" s="1950"/>
      <c r="D9" s="1950"/>
      <c r="E9" s="1950"/>
      <c r="F9" s="1950"/>
      <c r="G9" s="1950"/>
      <c r="H9" s="1950"/>
      <c r="I9" s="1950"/>
      <c r="J9" s="50"/>
      <c r="L9" s="1933" t="str">
        <f>IF(C6="206 - Fondo de Prestaciones Económicas, Cesantías y Pensiones – FONCEP ","ASPECTOS A TENER EN CUENTA PARA DEFINIR LA MATERIALIDAD CUANTITATIVA PARA ESTADOS FINANCIEROS EN SU CONJUNTO.",IF(C6="262 - Empresa de Transporte del Tercer Milenio - Transmilenio S.A. ","ASPECTOS A TENER EN CUENTA PARA DEFINIR LA MATERIALIDAD CUANTITATIVA PARA ESTADOS FINANCIEROS EN SU CONJUNTO.",""))</f>
        <v>ASPECTOS A TENER EN CUENTA PARA DEFINIR LA MATERIALIDAD CUANTITATIVA PARA ESTADOS FINANCIEROS EN SU CONJUNTO.</v>
      </c>
      <c r="M9" s="1933"/>
      <c r="N9" s="1933"/>
      <c r="O9" s="1933"/>
      <c r="P9" s="1933"/>
      <c r="Q9" s="1933"/>
      <c r="R9" s="1933"/>
      <c r="S9" s="1933"/>
    </row>
    <row r="10" spans="2:19" x14ac:dyDescent="0.25">
      <c r="C10" s="313"/>
      <c r="D10" s="307"/>
      <c r="E10" s="312"/>
      <c r="F10" s="311"/>
      <c r="M10" s="1397"/>
      <c r="O10" s="312"/>
      <c r="P10" s="1396"/>
    </row>
    <row r="11" spans="2:19" ht="235.15" customHeight="1" x14ac:dyDescent="0.25">
      <c r="B11" s="1935" t="s">
        <v>678</v>
      </c>
      <c r="C11" s="1935"/>
      <c r="D11" s="1935"/>
      <c r="E11" s="1935"/>
      <c r="F11" s="1935"/>
      <c r="G11" s="1935"/>
      <c r="H11" s="1935"/>
      <c r="I11" s="1935"/>
      <c r="L11" s="1934" t="str">
        <f>IF(C6="206 - Fondo de Prestaciones Económicas, Cesantías y Pensiones – FONCEP ",B11,IF(C6="262 - Empresa de Transporte del Tercer Milenio - Transmilenio S.A. ",B11,""))</f>
        <v>MATERIALIDAD CUANTITATIVA PARA LAS INCORRECCIONES E IMPOSIBILIDADES 
Este instrumento está compuesto por las siguientes secciones:
1. Criterios para clasificación de riesgo del proceso de estados financieros.
2. Aplicación de criterios para la clasificación de riesgo del sujeto de vigilancia y control fiscal.
3. Base y Porcentaje referente Para Establecer La Materialidad.
4. materialidad determinada para el sujeto de vigilancia y control fiscal.
5. estructura de niveles, rangos para determinar la materialidad de los sujetos de vigilancia y control fiscal.
6. materialidad determinada para el sujeto de control y parametrización del momento en que surgen las opiniones modificadas.</v>
      </c>
      <c r="M11" s="1935"/>
      <c r="N11" s="1935"/>
      <c r="O11" s="1935"/>
      <c r="P11" s="1935"/>
      <c r="Q11" s="1935"/>
      <c r="R11" s="1935"/>
      <c r="S11" s="1935"/>
    </row>
    <row r="12" spans="2:19" ht="8.25" customHeight="1" x14ac:dyDescent="0.25">
      <c r="B12" s="314"/>
      <c r="E12" s="314"/>
      <c r="L12" s="314"/>
      <c r="O12" s="314"/>
    </row>
    <row r="13" spans="2:19" ht="15.75" x14ac:dyDescent="0.25">
      <c r="B13" s="1936" t="s">
        <v>679</v>
      </c>
      <c r="C13" s="1936"/>
      <c r="D13" s="1936"/>
      <c r="E13" s="1936"/>
      <c r="F13" s="1936"/>
      <c r="G13" s="1936"/>
      <c r="H13" s="1936"/>
      <c r="I13" s="1936"/>
      <c r="L13" s="1936" t="str">
        <f>IF(C6="206 - Fondo de Prestaciones Económicas, Cesantías y Pensiones – FONCEP ","MATERIALIDAD CUANTITATIVA - PARA INCORRECCIONES E IMPOSIBILIDADES O SU SUMATORIA",IF(C6="262 - Empresa de Transporte del Tercer Milenio - Transmilenio S.A. ","MATERIALIDAD CUANTITATIVA - PARA INCORRECCIONES E IMPOSIBILIDADES O SU SUMATORIA",""))</f>
        <v>MATERIALIDAD CUANTITATIVA - PARA INCORRECCIONES E IMPOSIBILIDADES O SU SUMATORIA</v>
      </c>
      <c r="M13" s="1936"/>
      <c r="N13" s="1936"/>
      <c r="O13" s="1936"/>
      <c r="P13" s="1936"/>
      <c r="Q13" s="1936"/>
      <c r="R13" s="1936"/>
      <c r="S13" s="1936"/>
    </row>
    <row r="14" spans="2:19" ht="29.25" customHeight="1" x14ac:dyDescent="0.25">
      <c r="B14" s="1937" t="s">
        <v>680</v>
      </c>
      <c r="C14" s="1937"/>
      <c r="D14" s="1937"/>
      <c r="E14" s="1937"/>
      <c r="F14" s="1937"/>
      <c r="G14" s="1937"/>
      <c r="H14" s="1937"/>
      <c r="I14" s="1937"/>
      <c r="J14" s="315"/>
      <c r="K14" s="315"/>
      <c r="L14" s="1937" t="str">
        <f>IF(C6="206 - Fondo de Prestaciones Económicas, Cesantías y Pensiones – FONCEP ",B14,IF(C6="262 - Empresa de Transporte del Tercer Milenio - Transmilenio S.A. ",B14,""))</f>
        <v>1. CRITERIOS PARA CLASIFICACIÓN DE RIESGO DEL PROCESO DE ESTADOS FINANCIEROS (Sección Informativa no requiere ningún diligenciamiento):</v>
      </c>
      <c r="M14" s="1937"/>
      <c r="N14" s="1937"/>
      <c r="O14" s="1937"/>
      <c r="P14" s="1937"/>
      <c r="Q14" s="1937"/>
      <c r="R14" s="1937"/>
      <c r="S14" s="1937"/>
    </row>
    <row r="15" spans="2:19" ht="29.25" customHeight="1" x14ac:dyDescent="0.25">
      <c r="B15" s="1938" t="s">
        <v>1605</v>
      </c>
      <c r="C15" s="1939"/>
      <c r="D15" s="1939"/>
      <c r="E15" s="1939"/>
      <c r="F15" s="1939"/>
      <c r="G15" s="1940"/>
      <c r="H15" s="1941" t="s">
        <v>1606</v>
      </c>
      <c r="I15" s="1942"/>
      <c r="J15" s="315"/>
      <c r="K15" s="315"/>
      <c r="L15" s="1938" t="str">
        <f>IF(C6="206 - Fondo de Prestaciones Económicas, Cesantías y Pensiones – FONCEP ",B15,IF(C6="262 - Empresa de Transporte del Tercer Milenio - Transmilenio S.A. ",B15,""))</f>
        <v>RESULTADOS AUDITORIA VIGENCIA ANTERIOR</v>
      </c>
      <c r="M15" s="1939"/>
      <c r="N15" s="1939"/>
      <c r="O15" s="1939"/>
      <c r="P15" s="1939"/>
      <c r="Q15" s="1940"/>
      <c r="R15" s="1941" t="str">
        <f>IF(C6="206 - Fondo de Prestaciones Económicas, Cesantías y Pensiones – FONCEP ",H15,IF(C6="262 - Empresa de Transporte del Tercer Milenio - Transmilenio S.A. ",H15,""))</f>
        <v>DATOS VIGENCIA AUDITORIA ACTUAL</v>
      </c>
      <c r="S15" s="1942"/>
    </row>
    <row r="16" spans="2:19" ht="51" x14ac:dyDescent="0.25">
      <c r="B16" s="317" t="s">
        <v>681</v>
      </c>
      <c r="C16" s="317" t="s">
        <v>210</v>
      </c>
      <c r="D16" s="317" t="s">
        <v>682</v>
      </c>
      <c r="E16" s="318" t="s">
        <v>210</v>
      </c>
      <c r="F16" s="319" t="s">
        <v>683</v>
      </c>
      <c r="G16" s="318" t="s">
        <v>210</v>
      </c>
      <c r="H16" s="317" t="s">
        <v>684</v>
      </c>
      <c r="I16" s="318" t="s">
        <v>210</v>
      </c>
      <c r="J16" s="320"/>
      <c r="K16" s="320"/>
      <c r="L16" s="317" t="str">
        <f>IF(C6="206 - Fondo de Prestaciones Económicas, Cesantías y Pensiones – FONCEP ",B16,IF(C6="262 - Empresa de Transporte del Tercer Milenio - Transmilenio S.A. ",B16,""))</f>
        <v>Opinión auditoría Estados Financieros</v>
      </c>
      <c r="M16" s="317" t="str">
        <f>IF(C6="206 - Fondo de Prestaciones Económicas, Cesantías y Pensiones – FONCEP ",C16,IF(C6="262 - Empresa de Transporte del Tercer Milenio - Transmilenio S.A. ",C16,""))</f>
        <v>CALIFICACIÓN</v>
      </c>
      <c r="N16" s="317" t="str">
        <f>IF(C6="206 - Fondo de Prestaciones Económicas, Cesantías y Pensiones – FONCEP ",D16,IF(C6="262 - Empresa de Transporte del Tercer Milenio - Transmilenio S.A. ",D16,""))</f>
        <v>Calificación Control Interno Contable - Proceso Estados Financieros</v>
      </c>
      <c r="O16" s="317" t="str">
        <f>IF(C6="206 - Fondo de Prestaciones Económicas, Cesantías y Pensiones – FONCEP ",E16,IF(C6="262 - Empresa de Transporte del Tercer Milenio - Transmilenio S.A. ",E16,""))</f>
        <v>CALIFICACIÓN</v>
      </c>
      <c r="P16" s="317" t="str">
        <f>IF(C6="206 - Fondo de Prestaciones Económicas, Cesantías y Pensiones – FONCEP ",F16,IF(C6="262 - Empresa de Transporte del Tercer Milenio - Transmilenio S.A. ",F16,""))</f>
        <v>Fenecimiento de la cuenta</v>
      </c>
      <c r="Q16" s="317" t="str">
        <f>IF(C6="206 - Fondo de Prestaciones Económicas, Cesantías y Pensiones – FONCEP ",G16,IF(C6="262 - Empresa de Transporte del Tercer Milenio - Transmilenio S.A. ",G16,""))</f>
        <v>CALIFICACIÓN</v>
      </c>
      <c r="R16" s="317" t="str">
        <f>IF(C6="206 - Fondo de Prestaciones Económicas, Cesantías y Pensiones – FONCEP ",H16,IF(C6="262 - Empresa de Transporte del Tercer Milenio - Transmilenio S.A. ",H16,""))</f>
        <v>Riesgo Residual o Combinado - Proceso Estados Financieros</v>
      </c>
      <c r="S16" s="317" t="str">
        <f>IF(C6="206 - Fondo de Prestaciones Económicas, Cesantías y Pensiones – FONCEP ",I16,IF(C6="262 - Empresa de Transporte del Tercer Milenio - Transmilenio S.A. ",I16,""))</f>
        <v>CALIFICACIÓN</v>
      </c>
    </row>
    <row r="17" spans="2:19" x14ac:dyDescent="0.25">
      <c r="B17" s="1141" t="s">
        <v>1604</v>
      </c>
      <c r="C17" s="336">
        <v>0</v>
      </c>
      <c r="D17" s="1141" t="s">
        <v>1604</v>
      </c>
      <c r="E17" s="336">
        <v>0</v>
      </c>
      <c r="F17" s="1141" t="s">
        <v>1604</v>
      </c>
      <c r="G17" s="336">
        <v>0</v>
      </c>
      <c r="H17" s="1141" t="s">
        <v>155</v>
      </c>
      <c r="I17" s="336">
        <v>1</v>
      </c>
      <c r="J17" s="316"/>
      <c r="K17" s="316"/>
      <c r="L17" s="1141" t="str">
        <f t="shared" ref="L17:S17" si="0">IF($C$6="206 - Fondo de Prestaciones Económicas, Cesantías y Pensiones – FONCEP ",B17,IF($C$6="262 - Empresa de Transporte del Tercer Milenio - Transmilenio S.A. ",B17,""))</f>
        <v>No Hay</v>
      </c>
      <c r="M17" s="336">
        <f t="shared" si="0"/>
        <v>0</v>
      </c>
      <c r="N17" s="1141" t="str">
        <f t="shared" si="0"/>
        <v>No Hay</v>
      </c>
      <c r="O17" s="336">
        <f t="shared" si="0"/>
        <v>0</v>
      </c>
      <c r="P17" s="1141" t="str">
        <f t="shared" si="0"/>
        <v>No Hay</v>
      </c>
      <c r="Q17" s="336">
        <f t="shared" si="0"/>
        <v>0</v>
      </c>
      <c r="R17" s="1141" t="str">
        <f t="shared" si="0"/>
        <v>Bajo</v>
      </c>
      <c r="S17" s="336">
        <f t="shared" si="0"/>
        <v>1</v>
      </c>
    </row>
    <row r="18" spans="2:19" x14ac:dyDescent="0.25">
      <c r="B18" s="1141" t="s">
        <v>685</v>
      </c>
      <c r="C18" s="336">
        <v>1</v>
      </c>
      <c r="D18" s="1142" t="s">
        <v>156</v>
      </c>
      <c r="E18" s="336">
        <v>1</v>
      </c>
      <c r="F18" s="1141" t="s">
        <v>686</v>
      </c>
      <c r="G18" s="336">
        <v>1</v>
      </c>
      <c r="H18" s="1141" t="s">
        <v>132</v>
      </c>
      <c r="I18" s="336">
        <v>2</v>
      </c>
      <c r="J18" s="316"/>
      <c r="K18" s="316"/>
      <c r="L18" s="1141" t="str">
        <f>IF($C$6="206 - Fondo de Prestaciones Económicas, Cesantías y Pensiones – FONCEP ",B18,IF($C$6="262 - Empresa de Transporte del Tercer Milenio - Transmilenio S.A. ",B18,""))</f>
        <v>Sin salvedades</v>
      </c>
      <c r="M18" s="336">
        <f t="shared" ref="M18:M21" si="1">IF($C$6="206 - Fondo de Prestaciones Económicas, Cesantías y Pensiones – FONCEP ",C18,IF($C$6="262 - Empresa de Transporte del Tercer Milenio - Transmilenio S.A. ",C18,""))</f>
        <v>1</v>
      </c>
      <c r="N18" s="1141" t="str">
        <f t="shared" ref="N18:N20" si="2">IF($C$6="206 - Fondo de Prestaciones Económicas, Cesantías y Pensiones – FONCEP ",D18,IF($C$6="262 - Empresa de Transporte del Tercer Milenio - Transmilenio S.A. ",D18,""))</f>
        <v>Eficiente</v>
      </c>
      <c r="O18" s="336">
        <f t="shared" ref="O18:O21" si="3">IF($C$6="206 - Fondo de Prestaciones Económicas, Cesantías y Pensiones – FONCEP ",E18,IF($C$6="262 - Empresa de Transporte del Tercer Milenio - Transmilenio S.A. ",E18,""))</f>
        <v>1</v>
      </c>
      <c r="P18" s="1141" t="str">
        <f t="shared" ref="P18:P19" si="4">IF($C$6="206 - Fondo de Prestaciones Económicas, Cesantías y Pensiones – FONCEP ",F18,IF($C$6="262 - Empresa de Transporte del Tercer Milenio - Transmilenio S.A. ",F18,""))</f>
        <v>Fenecida</v>
      </c>
      <c r="Q18" s="336">
        <f t="shared" ref="Q18:Q19" si="5">IF($C$6="206 - Fondo de Prestaciones Económicas, Cesantías y Pensiones – FONCEP ",G18,IF($C$6="262 - Empresa de Transporte del Tercer Milenio - Transmilenio S.A. ",G18,""))</f>
        <v>1</v>
      </c>
      <c r="R18" s="1141" t="str">
        <f t="shared" ref="R18:R20" si="6">IF($C$6="206 - Fondo de Prestaciones Económicas, Cesantías y Pensiones – FONCEP ",H18,IF($C$6="262 - Empresa de Transporte del Tercer Milenio - Transmilenio S.A. ",H18,""))</f>
        <v>Medio</v>
      </c>
      <c r="S18" s="336">
        <f t="shared" ref="S18:S20" si="7">IF($C$6="206 - Fondo de Prestaciones Económicas, Cesantías y Pensiones – FONCEP ",I18,IF($C$6="262 - Empresa de Transporte del Tercer Milenio - Transmilenio S.A. ",I18,""))</f>
        <v>2</v>
      </c>
    </row>
    <row r="19" spans="2:19" x14ac:dyDescent="0.25">
      <c r="B19" s="1141" t="s">
        <v>687</v>
      </c>
      <c r="C19" s="336">
        <v>2</v>
      </c>
      <c r="D19" s="1141" t="s">
        <v>131</v>
      </c>
      <c r="E19" s="1143">
        <v>2</v>
      </c>
      <c r="F19" s="1141" t="s">
        <v>688</v>
      </c>
      <c r="G19" s="336">
        <v>4</v>
      </c>
      <c r="H19" s="1141" t="s">
        <v>153</v>
      </c>
      <c r="I19" s="336">
        <v>3</v>
      </c>
      <c r="J19" s="315"/>
      <c r="K19" s="315"/>
      <c r="L19" s="1141" t="str">
        <f t="shared" ref="L19:L20" si="8">IF($C$6="206 - Fondo de Prestaciones Económicas, Cesantías y Pensiones – FONCEP ",B19,IF($C$6="262 - Empresa de Transporte del Tercer Milenio - Transmilenio S.A. ",B19,""))</f>
        <v>Con salvedades</v>
      </c>
      <c r="M19" s="336">
        <f t="shared" si="1"/>
        <v>2</v>
      </c>
      <c r="N19" s="1141" t="str">
        <f t="shared" si="2"/>
        <v>Con deficiencias</v>
      </c>
      <c r="O19" s="336">
        <f t="shared" si="3"/>
        <v>2</v>
      </c>
      <c r="P19" s="1141" t="str">
        <f t="shared" si="4"/>
        <v>No fenecida</v>
      </c>
      <c r="Q19" s="336">
        <f t="shared" si="5"/>
        <v>4</v>
      </c>
      <c r="R19" s="1141" t="str">
        <f t="shared" si="6"/>
        <v>Alto</v>
      </c>
      <c r="S19" s="336">
        <f t="shared" si="7"/>
        <v>3</v>
      </c>
    </row>
    <row r="20" spans="2:19" x14ac:dyDescent="0.25">
      <c r="B20" s="1141" t="s">
        <v>535</v>
      </c>
      <c r="C20" s="325">
        <v>3</v>
      </c>
      <c r="D20" s="1142" t="s">
        <v>154</v>
      </c>
      <c r="E20" s="336">
        <v>3</v>
      </c>
      <c r="F20" s="309"/>
      <c r="G20" s="1144"/>
      <c r="H20" s="1145" t="s">
        <v>689</v>
      </c>
      <c r="I20" s="1143">
        <v>4</v>
      </c>
      <c r="J20" s="315"/>
      <c r="K20" s="315"/>
      <c r="L20" s="1141" t="str">
        <f t="shared" si="8"/>
        <v>Negativa</v>
      </c>
      <c r="M20" s="336">
        <f t="shared" si="1"/>
        <v>3</v>
      </c>
      <c r="N20" s="1141" t="str">
        <f t="shared" si="2"/>
        <v>Ineficiente</v>
      </c>
      <c r="O20" s="336">
        <f t="shared" si="3"/>
        <v>3</v>
      </c>
      <c r="P20" s="309"/>
      <c r="Q20" s="1144"/>
      <c r="R20" s="1141" t="str">
        <f t="shared" si="6"/>
        <v>Critico</v>
      </c>
      <c r="S20" s="336">
        <f t="shared" si="7"/>
        <v>4</v>
      </c>
    </row>
    <row r="21" spans="2:19" x14ac:dyDescent="0.25">
      <c r="B21" s="1142" t="s">
        <v>541</v>
      </c>
      <c r="C21" s="325">
        <v>4</v>
      </c>
      <c r="D21" s="1142" t="s">
        <v>152</v>
      </c>
      <c r="E21" s="336">
        <v>4</v>
      </c>
      <c r="F21" s="309"/>
      <c r="G21" s="309"/>
      <c r="H21" s="309"/>
      <c r="I21" s="309"/>
      <c r="J21" s="326"/>
      <c r="K21" s="326"/>
      <c r="L21" s="1141" t="str">
        <f>IF($C$6="206 - Fondo de Prestaciones Económicas, Cesantías y Pensiones – FONCEP ",B21,IF($C$6="262 - Empresa de Transporte del Tercer Milenio - Transmilenio S.A. ",B21,""))</f>
        <v>Abstención</v>
      </c>
      <c r="M21" s="336">
        <f t="shared" si="1"/>
        <v>4</v>
      </c>
      <c r="N21" s="1141" t="str">
        <f>IF($C$6="206 - Fondo de Prestaciones Económicas, Cesantías y Pensiones – FONCEP ",D21,IF($C$6="262 - Empresa de Transporte del Tercer Milenio - Transmilenio S.A. ",D21,""))</f>
        <v>Inexistente</v>
      </c>
      <c r="O21" s="336">
        <f t="shared" si="3"/>
        <v>4</v>
      </c>
      <c r="P21" s="309"/>
      <c r="Q21" s="309"/>
      <c r="R21" s="309"/>
      <c r="S21" s="309"/>
    </row>
    <row r="22" spans="2:19" x14ac:dyDescent="0.25">
      <c r="B22" s="972">
        <f>IF(B30="Abstención",4,IF(B30="Negativa",3,IF(B30="Con salvedades",2,IF(B30="Sin salvedades",1,IF(B30="No Hay",0)))))</f>
        <v>0</v>
      </c>
      <c r="C22" s="972"/>
      <c r="D22" s="972">
        <f>IF(C30="Ineficiente",3,IF(C30="Con deficiencias",2,IF(C30="Eficiente",1,IF(C30="Inexistente",4,IF(C30="No Hay",0)))))</f>
        <v>0</v>
      </c>
      <c r="E22" s="972"/>
      <c r="F22" s="972">
        <f>IF(D30="No fenecida",4,IF(D30="Fenecida",1,IF(D30="No Hay",0)))</f>
        <v>0</v>
      </c>
      <c r="G22" s="972"/>
      <c r="H22" s="972">
        <f>IF(E30="Critico",4,IF(E30="Alto",3,IF(E30="Medio",2,IF(E30="Bajo",1,0))))</f>
        <v>1</v>
      </c>
      <c r="I22" s="972"/>
      <c r="J22" s="326"/>
      <c r="K22" s="326"/>
      <c r="L22" s="972">
        <f>IF(C6="206 - Fondo de Prestaciones Económicas, Cesantías y Pensiones – FONCEP ",IF(L30="Abstención",4,IF(L30="Negativa",3,IF(L30="Con salvedades",2,IF(L30="Sin salvedades",1,0)))),IF(C6="262 - Empresa de Transporte del Tercer Milenio - Transmilenio S.A. ",IF(L30="Abstención",4,IF(L30="Negativa",3,IF(L30="Con salvedades",2,IF(L30="Sin salvedades",1,IF(L30="No hay",0)))))))</f>
        <v>0</v>
      </c>
      <c r="M22" s="972"/>
      <c r="N22" s="972">
        <f>IF(C6="206 - Fondo de Prestaciones Económicas, Cesantías y Pensiones – FONCEP ",IF(M30="Ineficiente",3,IF(M30="Con deficiencias",2,IF(M30="Eficiente",1,IF(M30="Inexistente",4,IF(M30="No Hay",0))))),IF(C6="262 - Empresa de Transporte del Tercer Milenio - Transmilenio S.A. ",IF(M30="Ineficiente",3,IF(M30="Con deficiencias",2,IF(M30="Eficiente",1,IF(M30="Inexistente",4,IF(M30="No Hay",0)))))))</f>
        <v>0</v>
      </c>
      <c r="O22" s="972"/>
      <c r="P22" s="972">
        <f>IF(C6="206 - Fondo de Prestaciones Económicas, Cesantías y Pensiones – FONCEP ",IF(N30="No fenecida",4,IF(N30="Fenecida",1,IF(N30="No Hay",0))),IF(C6="262 - Empresa de Transporte del Tercer Milenio - Transmilenio S.A. ",IF(N30="No fenecida",4,IF(N30="Fenecida",1,IF(N30="No Hay",0)))))</f>
        <v>0</v>
      </c>
      <c r="Q22" s="972"/>
      <c r="R22" s="972">
        <f>IF(C6="206 - Fondo de Prestaciones Económicas, Cesantías y Pensiones – FONCEP ",IF(O30="Critico",4,IF(O30="Alto",3,IF(O30="Medio",2,IF(O30="Bajo",1,0)))),IF(C6="262 - Empresa de Transporte del Tercer Milenio - Transmilenio S.A. ",IF(O30="Critico",4,IF(O30="Alto",3,IF(O30="Medio",2,IF(O30="Bajo",1,0))))))</f>
        <v>1</v>
      </c>
      <c r="S22" s="972"/>
    </row>
    <row r="23" spans="2:19" x14ac:dyDescent="0.25">
      <c r="B23" s="1099"/>
      <c r="C23" s="1099"/>
      <c r="D23" s="1099"/>
      <c r="E23" s="1099"/>
      <c r="F23" s="1099"/>
      <c r="G23" s="1099"/>
      <c r="H23" s="333"/>
      <c r="I23" s="1099"/>
      <c r="J23" s="326"/>
      <c r="K23" s="326"/>
      <c r="L23" s="1099"/>
      <c r="M23" s="1099"/>
      <c r="N23" s="1099"/>
      <c r="O23" s="1099"/>
      <c r="P23" s="1099"/>
      <c r="Q23" s="1099"/>
      <c r="R23" s="333"/>
      <c r="S23" s="1099"/>
    </row>
    <row r="24" spans="2:19" ht="75" customHeight="1" x14ac:dyDescent="0.25">
      <c r="B24" s="1932" t="s">
        <v>690</v>
      </c>
      <c r="C24" s="1932"/>
      <c r="D24" s="1932"/>
      <c r="E24" s="1932"/>
      <c r="F24" s="1932"/>
      <c r="G24" s="1932"/>
      <c r="H24" s="1932"/>
      <c r="I24" s="1932"/>
      <c r="J24" s="326"/>
      <c r="K24" s="326"/>
      <c r="L24" s="1932" t="str">
        <f>IF(C6="206 - Fondo de Prestaciones Económicas, Cesantías y Pensiones – FONCEP ",B24,IF(C6="262 - Empresa de Transporte del Tercer Milenio - Transmilenio S.A. ",B24,""))</f>
        <v>Dado que la materialidad se encuentra directamente relacionada con el nivel de riesgo del sujeto de control, en esta sección se presentan los criterios utilizados para establecer el nivel de riesgo de auditoría del proceso de Estados Financieros del Sujeto de Vigilancia y Control Fiscal, de los cuales 3 corresponden a la auditoría de Regularidad o Financiera y de Gestión anterior (Opinión sobre los Estados Financieros, la Calificación de Control Interno Contable y el Fenecimiento de la Cuenta) y uno a la presente auditoría que corresponde al Riesgo Residual o Combinado – Proceso Estados Financieros.</v>
      </c>
      <c r="M24" s="1932"/>
      <c r="N24" s="1932"/>
      <c r="O24" s="1932"/>
      <c r="P24" s="1932"/>
      <c r="Q24" s="1932"/>
      <c r="R24" s="1932"/>
      <c r="S24" s="1932"/>
    </row>
    <row r="25" spans="2:19" x14ac:dyDescent="0.25">
      <c r="B25" s="1099"/>
      <c r="C25" s="1099"/>
      <c r="D25" s="1099"/>
      <c r="E25" s="1099"/>
      <c r="F25" s="1099"/>
      <c r="G25" s="1099"/>
      <c r="H25" s="333"/>
      <c r="I25" s="1099"/>
      <c r="J25" s="326"/>
      <c r="K25" s="326"/>
      <c r="L25" s="337"/>
    </row>
    <row r="26" spans="2:19" ht="15.75" x14ac:dyDescent="0.25">
      <c r="B26" s="2000" t="str">
        <f>IF(C6="262 - Empresa de Transporte del Tercer Milenio - Transmilenio S.A. ","262 - Empresa de Transporte del Tercer Milenio - Transmilenio S.A. ","")</f>
        <v xml:space="preserve">262 - Empresa de Transporte del Tercer Milenio - Transmilenio S.A. </v>
      </c>
      <c r="C26" s="2000"/>
      <c r="D26" s="2000"/>
      <c r="E26" s="2000"/>
      <c r="F26" s="1099"/>
      <c r="G26" s="1099"/>
      <c r="H26" s="333"/>
      <c r="I26" s="1099"/>
      <c r="J26" s="326"/>
      <c r="K26" s="326"/>
      <c r="L26" s="2001" t="str">
        <f>IF(C6="206 - Fondo de Prestaciones Económicas, Cesantías y Pensiones – FONCEP ","Fondo de Pensiones Públicas de Bogotá – FPPB",IF(C6="262 - Empresa de Transporte del Tercer Milenio - Transmilenio S.A. ","Sistema Integrado de Transporte Público - SITP",""))</f>
        <v>Sistema Integrado de Transporte Público - SITP</v>
      </c>
      <c r="M26" s="2001"/>
      <c r="N26" s="2001"/>
      <c r="O26" s="2001"/>
    </row>
    <row r="27" spans="2:19" ht="42" customHeight="1" x14ac:dyDescent="0.25">
      <c r="B27" s="1952" t="s">
        <v>691</v>
      </c>
      <c r="C27" s="1952"/>
      <c r="D27" s="1952"/>
      <c r="E27" s="1952"/>
      <c r="F27" s="50"/>
      <c r="G27" s="50"/>
      <c r="I27" s="329"/>
      <c r="J27" s="327"/>
      <c r="K27" s="327"/>
      <c r="L27" s="1952" t="str">
        <f>IF(C6="206 - Fondo de Prestaciones Económicas, Cesantías y Pensiones – FONCEP ","2. APLICACIÓN DE CRITERIOS PARA LA CLASIFICACIÓN DE RIESGO DEL SUJETO DE VIGILANCIA Y CONTROL FISCAL",IF(C6="262 - Empresa de Transporte del Tercer Milenio - Transmilenio S.A. ","2. APLICACIÓN DE CRITERIOS PARA LA CLASIFICACIÓN DE RIESGO DEL SUJETO DE VIGILANCIA Y CONTROL FISCAL",""))</f>
        <v>2. APLICACIÓN DE CRITERIOS PARA LA CLASIFICACIÓN DE RIESGO DEL SUJETO DE VIGILANCIA Y CONTROL FISCAL</v>
      </c>
      <c r="M27" s="1952"/>
      <c r="N27" s="1952"/>
      <c r="O27" s="1952"/>
    </row>
    <row r="28" spans="2:19" ht="91.15" customHeight="1" x14ac:dyDescent="0.25">
      <c r="B28" s="1966" t="s">
        <v>1607</v>
      </c>
      <c r="C28" s="1967"/>
      <c r="D28" s="1967"/>
      <c r="E28" s="1968"/>
      <c r="F28" s="50"/>
      <c r="G28" s="50"/>
      <c r="I28" s="329"/>
      <c r="J28" s="327"/>
      <c r="K28" s="327"/>
      <c r="L28" s="2002" t="str">
        <f>IF(C6="206 - Fondo de Prestaciones Económicas, Cesantías y Pensiones – FONCEP ",B28,IF(C6="262 - Empresa de Transporte del Tercer Milenio - Transmilenio S.A. ",B28,""))</f>
        <v xml:space="preserve">Notas aclaratorias: 
1. En caso de que al Sujeto de Control Fiscal no se le haya practicado Auditoría Regular (AR) o Financiera Gestión y Resultados (AFGR) en el año inmediatamente anterior, se debe tomar la información de la última vigencia auditada.
2. Si al Sujeto de Control nunca se le ha efectuado auditoría (AR o AFGR) alguna, entonces seleccione la frase: “No Hay" de la lista desplegable.
</v>
      </c>
      <c r="M28" s="2002"/>
      <c r="N28" s="2002"/>
      <c r="O28" s="2002"/>
    </row>
    <row r="29" spans="2:19" ht="80.25" customHeight="1" x14ac:dyDescent="0.25">
      <c r="B29" s="979" t="s">
        <v>692</v>
      </c>
      <c r="C29" s="980" t="s">
        <v>1608</v>
      </c>
      <c r="D29" s="981" t="s">
        <v>693</v>
      </c>
      <c r="E29" s="982" t="s">
        <v>1609</v>
      </c>
      <c r="F29" s="332"/>
      <c r="I29" s="329"/>
      <c r="J29" s="333"/>
      <c r="K29" s="333"/>
      <c r="L29" s="1361" t="str">
        <f>IF(C6="206 - Fondo de Prestaciones Económicas, Cesantías y Pensiones – FONCEP ","Opinión auditoría anterior",IF(C6="262 - Empresa de Transporte del Tercer Milenio - Transmilenio S.A. ","Opinión auditoría anterior",""))</f>
        <v>Opinión auditoría anterior</v>
      </c>
      <c r="M29" s="1362" t="str">
        <f>IF(C6="206 - Fondo de Prestaciones Económicas, Cesantías y Pensiones – FONCEP ","Calificación Control Interno Contable - Proceso Estados Financieros auditoría anterior",IF(C6="262 - Empresa de Transporte del Tercer Milenio - Transmilenio S.A. ","Calificación Control Interno Contable - Proceso Estados Financieros auditoría anterior",""))</f>
        <v>Calificación Control Interno Contable - Proceso Estados Financieros auditoría anterior</v>
      </c>
      <c r="N29" s="1361" t="str">
        <f>IF(C6="206 - Fondo de Prestaciones Económicas, Cesantías y Pensiones – FONCEP ","Fenecimiento de la cuenta
auditoría anterior",IF(C6="262 - Empresa de Transporte del Tercer Milenio - Transmilenio S.A. ","Fenecimiento de la cuenta
auditoría anterior",""))</f>
        <v>Fenecimiento de la cuenta
auditoría anterior</v>
      </c>
      <c r="O29" s="1363" t="str">
        <f>IF(C6="206 - Fondo de Prestaciones Económicas, Cesantías y Pensiones – FONCEP ","Riesgo Residual o Combinado - Proceso Estados Financieros auditoría actual",IF(C6="262 - Empresa de Transporte del Tercer Milenio - Transmilenio S.A. ","Riesgo Residual o Combinado - Proceso Estados Financieros auditoría actual",""))</f>
        <v>Riesgo Residual o Combinado - Proceso Estados Financieros auditoría actual</v>
      </c>
    </row>
    <row r="30" spans="2:19" ht="19.899999999999999" customHeight="1" x14ac:dyDescent="0.25">
      <c r="B30" s="322" t="s">
        <v>1604</v>
      </c>
      <c r="C30" s="322" t="s">
        <v>1604</v>
      </c>
      <c r="D30" s="322" t="s">
        <v>1604</v>
      </c>
      <c r="E30" s="322" t="s">
        <v>155</v>
      </c>
      <c r="F30" s="323"/>
      <c r="I30" s="329"/>
      <c r="J30" s="327"/>
      <c r="K30" s="327"/>
      <c r="L30" s="322" t="s">
        <v>1604</v>
      </c>
      <c r="M30" s="322" t="s">
        <v>1604</v>
      </c>
      <c r="N30" s="322" t="s">
        <v>1604</v>
      </c>
      <c r="O30" s="322" t="s">
        <v>155</v>
      </c>
    </row>
    <row r="31" spans="2:19" x14ac:dyDescent="0.25">
      <c r="B31" s="326"/>
      <c r="C31" s="326"/>
      <c r="D31" s="326"/>
      <c r="E31" s="326"/>
      <c r="F31" s="326"/>
      <c r="I31" s="329"/>
      <c r="L31" s="326"/>
      <c r="M31" s="326"/>
      <c r="N31" s="326"/>
    </row>
    <row r="32" spans="2:19" ht="72" customHeight="1" x14ac:dyDescent="0.25">
      <c r="B32" s="1935" t="s">
        <v>694</v>
      </c>
      <c r="C32" s="1935"/>
      <c r="D32" s="1935"/>
      <c r="E32" s="1935"/>
      <c r="F32" s="1935"/>
      <c r="G32" s="1935"/>
      <c r="H32" s="1935"/>
      <c r="I32" s="1935"/>
      <c r="L32" s="326"/>
      <c r="M32" s="326"/>
      <c r="N32" s="326"/>
    </row>
    <row r="33" spans="2:19" x14ac:dyDescent="0.25">
      <c r="B33" s="1099"/>
      <c r="C33" s="1099"/>
      <c r="D33" s="1099"/>
      <c r="E33" s="1099"/>
      <c r="F33" s="1099"/>
      <c r="G33" s="1099"/>
      <c r="H33" s="333"/>
      <c r="I33" s="1099"/>
      <c r="J33" s="326"/>
      <c r="K33" s="326"/>
      <c r="L33" s="316"/>
      <c r="M33" s="315"/>
      <c r="N33" s="315"/>
    </row>
    <row r="34" spans="2:19" ht="43.5" customHeight="1" x14ac:dyDescent="0.25">
      <c r="B34" s="1953" t="s">
        <v>695</v>
      </c>
      <c r="C34" s="1953"/>
      <c r="D34" s="1953"/>
      <c r="E34" s="1953"/>
      <c r="F34" s="1953"/>
      <c r="G34" s="599"/>
      <c r="H34" s="599"/>
      <c r="I34" s="599"/>
      <c r="J34" s="326"/>
      <c r="K34" s="326"/>
      <c r="L34" s="316"/>
      <c r="M34" s="315"/>
      <c r="N34" s="315"/>
    </row>
    <row r="35" spans="2:19" ht="31.5" customHeight="1" x14ac:dyDescent="0.25">
      <c r="B35" s="334" t="s">
        <v>696</v>
      </c>
      <c r="C35" s="334" t="s">
        <v>697</v>
      </c>
      <c r="D35" s="1954" t="s">
        <v>698</v>
      </c>
      <c r="E35" s="1954"/>
      <c r="F35" s="1954"/>
      <c r="I35" s="329"/>
      <c r="J35" s="335"/>
      <c r="K35" s="335"/>
      <c r="L35" s="335"/>
      <c r="M35" s="335"/>
      <c r="N35" s="335"/>
    </row>
    <row r="36" spans="2:19" ht="45" customHeight="1" x14ac:dyDescent="0.25">
      <c r="B36" s="309" t="s">
        <v>699</v>
      </c>
      <c r="C36" s="336" t="s">
        <v>700</v>
      </c>
      <c r="D36" s="1963" t="s">
        <v>701</v>
      </c>
      <c r="E36" s="1963"/>
      <c r="F36" s="1963"/>
      <c r="I36" s="329"/>
      <c r="J36" s="335"/>
      <c r="K36" s="335"/>
      <c r="L36" s="335"/>
      <c r="M36" s="335"/>
      <c r="N36" s="335"/>
    </row>
    <row r="37" spans="2:19" ht="39" customHeight="1" x14ac:dyDescent="0.25">
      <c r="B37" s="309" t="s">
        <v>702</v>
      </c>
      <c r="C37" s="336" t="s">
        <v>700</v>
      </c>
      <c r="D37" s="1963"/>
      <c r="E37" s="1963"/>
      <c r="F37" s="1963"/>
      <c r="I37" s="329"/>
      <c r="J37" s="335"/>
      <c r="K37" s="335"/>
      <c r="L37" s="335"/>
      <c r="M37" s="335"/>
      <c r="N37" s="335"/>
    </row>
    <row r="38" spans="2:19" x14ac:dyDescent="0.25">
      <c r="C38" s="337"/>
      <c r="D38" s="338"/>
      <c r="E38" s="338"/>
      <c r="F38" s="338"/>
      <c r="I38" s="329"/>
      <c r="J38" s="335"/>
      <c r="K38" s="335"/>
      <c r="L38" s="335"/>
      <c r="M38" s="335"/>
      <c r="N38" s="335"/>
    </row>
    <row r="39" spans="2:19" ht="46.5" customHeight="1" x14ac:dyDescent="0.25">
      <c r="B39" s="1932" t="s">
        <v>703</v>
      </c>
      <c r="C39" s="1932"/>
      <c r="D39" s="1932"/>
      <c r="E39" s="1932"/>
      <c r="F39" s="1932"/>
      <c r="G39" s="1932"/>
      <c r="H39" s="1932"/>
      <c r="I39" s="1932"/>
      <c r="J39" s="331"/>
      <c r="K39" s="331"/>
      <c r="L39" s="330"/>
      <c r="M39" s="327"/>
      <c r="N39" s="331"/>
    </row>
    <row r="40" spans="2:19" x14ac:dyDescent="0.25">
      <c r="C40" s="339"/>
      <c r="I40" s="329"/>
      <c r="J40" s="327"/>
      <c r="K40" s="327"/>
      <c r="L40" s="340"/>
      <c r="M40" s="327"/>
      <c r="N40" s="327"/>
    </row>
    <row r="41" spans="2:19" s="327" customFormat="1" ht="38.25" customHeight="1" x14ac:dyDescent="0.25">
      <c r="B41" s="1964" t="s">
        <v>704</v>
      </c>
      <c r="C41" s="1964"/>
      <c r="D41" s="1964"/>
      <c r="E41" s="1964"/>
      <c r="F41" s="1964"/>
      <c r="G41" s="1964"/>
      <c r="H41" s="341"/>
      <c r="I41" s="341"/>
      <c r="J41" s="342"/>
      <c r="K41" s="342"/>
      <c r="L41" s="324"/>
      <c r="M41" s="320"/>
      <c r="N41" s="333"/>
    </row>
    <row r="42" spans="2:19" s="327" customFormat="1" ht="69" customHeight="1" x14ac:dyDescent="0.25">
      <c r="B42" s="1146" t="s">
        <v>705</v>
      </c>
      <c r="C42" s="1147" t="s">
        <v>706</v>
      </c>
      <c r="D42" s="1146" t="s">
        <v>707</v>
      </c>
      <c r="E42" s="1098" t="s">
        <v>708</v>
      </c>
      <c r="F42" s="1965" t="s">
        <v>709</v>
      </c>
      <c r="G42" s="1965"/>
      <c r="H42" s="320"/>
      <c r="J42" s="342"/>
      <c r="K42" s="342"/>
      <c r="L42" s="324"/>
      <c r="M42" s="320"/>
      <c r="N42" s="333"/>
    </row>
    <row r="43" spans="2:19" s="327" customFormat="1" ht="52.5" customHeight="1" x14ac:dyDescent="0.25">
      <c r="B43" s="343" t="s">
        <v>1610</v>
      </c>
      <c r="C43" s="1148" t="s">
        <v>710</v>
      </c>
      <c r="D43" s="344" t="s">
        <v>711</v>
      </c>
      <c r="E43" s="1149">
        <v>0.03</v>
      </c>
      <c r="F43" s="1951" t="s">
        <v>712</v>
      </c>
      <c r="G43" s="1951"/>
      <c r="H43" s="320"/>
      <c r="J43" s="342"/>
      <c r="K43" s="342"/>
      <c r="L43" s="324"/>
      <c r="M43" s="320"/>
      <c r="N43" s="333"/>
    </row>
    <row r="44" spans="2:19" s="327" customFormat="1" ht="34.5" customHeight="1" x14ac:dyDescent="0.25">
      <c r="B44" s="343" t="s">
        <v>713</v>
      </c>
      <c r="C44" s="1148" t="s">
        <v>714</v>
      </c>
      <c r="D44" s="345" t="s">
        <v>715</v>
      </c>
      <c r="E44" s="1149">
        <v>2.3E-2</v>
      </c>
      <c r="F44" s="2007" t="s">
        <v>716</v>
      </c>
      <c r="G44" s="2007"/>
      <c r="H44" s="320"/>
      <c r="J44" s="342"/>
      <c r="K44" s="342"/>
      <c r="L44" s="324"/>
      <c r="M44" s="320"/>
      <c r="N44" s="333"/>
    </row>
    <row r="45" spans="2:19" s="327" customFormat="1" ht="31.5" customHeight="1" x14ac:dyDescent="0.25">
      <c r="B45" s="343" t="s">
        <v>717</v>
      </c>
      <c r="C45" s="1148" t="s">
        <v>718</v>
      </c>
      <c r="D45" s="346" t="s">
        <v>719</v>
      </c>
      <c r="E45" s="1149">
        <v>1.7000000000000001E-2</v>
      </c>
      <c r="F45" s="2007"/>
      <c r="G45" s="2007"/>
      <c r="H45" s="320"/>
      <c r="J45" s="342"/>
      <c r="K45" s="342"/>
      <c r="L45" s="324"/>
      <c r="M45" s="320"/>
      <c r="N45" s="333"/>
    </row>
    <row r="46" spans="2:19" ht="12" customHeight="1" x14ac:dyDescent="0.25">
      <c r="B46" s="342"/>
      <c r="C46" s="320"/>
      <c r="D46" s="320"/>
      <c r="E46" s="333"/>
      <c r="F46" s="347"/>
      <c r="G46" s="1150"/>
      <c r="H46" s="337"/>
      <c r="J46" s="342"/>
      <c r="K46" s="342"/>
      <c r="L46" s="320"/>
      <c r="M46" s="320"/>
      <c r="N46" s="333"/>
    </row>
    <row r="47" spans="2:19" ht="113.25" customHeight="1" x14ac:dyDescent="0.25">
      <c r="B47" s="1948" t="s">
        <v>720</v>
      </c>
      <c r="C47" s="1948"/>
      <c r="D47" s="1948"/>
      <c r="E47" s="1948"/>
      <c r="F47" s="1948"/>
      <c r="G47" s="1948"/>
      <c r="H47" s="337"/>
      <c r="J47" s="342"/>
      <c r="K47" s="342"/>
      <c r="L47" s="320"/>
      <c r="M47" s="320"/>
      <c r="N47" s="333"/>
    </row>
    <row r="48" spans="2:19" ht="29.45" customHeight="1" x14ac:dyDescent="0.25">
      <c r="B48" s="342"/>
      <c r="C48" s="324"/>
      <c r="D48" s="320"/>
      <c r="E48" s="333"/>
      <c r="F48" s="347"/>
      <c r="G48" s="348"/>
      <c r="H48" s="316"/>
      <c r="N48" s="1990" t="str">
        <f>IF(C6="206 - Fondo de Prestaciones Económicas, Cesantías y Pensiones – FONCEP ","Estados Financieros del Fondo de Pensiones Públicas de Bogotá – FPPB",IF(C6="262 - Empresa de Transporte del Tercer Milenio - Transmilenio S.A. ","Estados Financieros del Sistema Intregado de Transporte Público-SITP",""))</f>
        <v>Estados Financieros del Sistema Intregado de Transporte Público-SITP</v>
      </c>
      <c r="O48" s="1990"/>
      <c r="P48" s="1990"/>
      <c r="Q48" s="1990"/>
      <c r="R48" s="1990"/>
      <c r="S48" s="1990"/>
    </row>
    <row r="49" spans="2:24" ht="17.25" customHeight="1" x14ac:dyDescent="0.25">
      <c r="B49" s="1937" t="s">
        <v>721</v>
      </c>
      <c r="C49" s="1937"/>
      <c r="D49" s="1937"/>
      <c r="E49" s="1937"/>
      <c r="F49" s="1937"/>
      <c r="G49" s="1937"/>
      <c r="H49" s="316"/>
      <c r="N49" s="1987" t="str">
        <f>IF(C6="206 - Fondo de Prestaciones Económicas, Cesantías y Pensiones – FONCEP ","5. MATERIALIDAD DETERMINADA PARA Fondo de Pensiones Públicas de Bogotá – FPPB",IF(C6="262 - Empresa de Transporte del Tercer Milenio - Transmilenio S.A. ","5. MATERIALIDAD DETERMINADA PARA Sistema Intregado de Transporte Público-SITP",""))</f>
        <v>5. MATERIALIDAD DETERMINADA PARA Sistema Intregado de Transporte Público-SITP</v>
      </c>
      <c r="O49" s="1988"/>
      <c r="P49" s="1988"/>
      <c r="Q49" s="1988"/>
      <c r="R49" s="1988"/>
      <c r="S49" s="1989"/>
    </row>
    <row r="50" spans="2:24" ht="55.9" customHeight="1" x14ac:dyDescent="0.25">
      <c r="B50" s="349" t="s">
        <v>722</v>
      </c>
      <c r="C50" s="1151" t="s">
        <v>707</v>
      </c>
      <c r="D50" s="350" t="s">
        <v>723</v>
      </c>
      <c r="E50" s="350" t="s">
        <v>724</v>
      </c>
      <c r="F50" s="351" t="s">
        <v>725</v>
      </c>
      <c r="G50" s="351" t="s">
        <v>726</v>
      </c>
      <c r="H50" s="316"/>
      <c r="N50" s="349" t="str">
        <f>IF(C6="206 - Fondo de Prestaciones Económicas, Cesantías y Pensiones – FONCEP ","Suma de puntos",IF(C6="262 - Empresa de Transporte del Tercer Milenio - Transmilenio S.A. ","Suma de puntos",""))</f>
        <v>Suma de puntos</v>
      </c>
      <c r="O50" s="1151" t="str">
        <f>IF(C6="206 - Fondo de Prestaciones Económicas, Cesantías y Pensiones – FONCEP ","Rango establecido para determinar Materialidad",IF(C6="262 - Empresa de Transporte del Tercer Milenio - Transmilenio S.A. ","Rango establecido para determinar Materialidad",""))</f>
        <v>Rango establecido para determinar Materialidad</v>
      </c>
      <c r="P50" s="350" t="str">
        <f>IF(C6="206 - Fondo de Prestaciones Económicas, Cesantías y Pensiones – FONCEP ","Base seleccionada",IF(C6="262 - Empresa de Transporte del Tercer Milenio - Transmilenio S.A. ","Base seleccionada",""))</f>
        <v>Base seleccionada</v>
      </c>
      <c r="Q50" s="350" t="str">
        <f>IF(C6="206 - Fondo de Prestaciones Económicas, Cesantías y Pensiones – FONCEP ","Monto Total",IF(C6="262 - Empresa de Transporte del Tercer Milenio - Transmilenio S.A. ","Monto Total",""))</f>
        <v>Monto Total</v>
      </c>
      <c r="R50" s="351" t="str">
        <f>IF(C6="206 - Fondo de Prestaciones Económicas, Cesantías y Pensiones – FONCEP ","% Materialidad establecido según nivel de Riesgo del Sujeto de Control",IF(C6="262 - Empresa de Transporte del Tercer Milenio - Transmilenio S.A. ","% Materialidad establecido según nivel de Riesgo del Sujeto de Control",""))</f>
        <v>% Materialidad establecido según nivel de Riesgo del Sujeto de Control</v>
      </c>
      <c r="S50" s="351" t="str">
        <f>IF(C6="206 - Fondo de Prestaciones Económicas, Cesantías y Pensiones – FONCEP ","%Valor Materialidad en Peso",IF(C6="262 - Empresa de Transporte del Tercer Milenio - Transmilenio S.A. ","%Valor Materialidad en Pesos",""))</f>
        <v>%Valor Materialidad en Pesos</v>
      </c>
    </row>
    <row r="51" spans="2:24" ht="23.25" customHeight="1" x14ac:dyDescent="0.25">
      <c r="B51" s="352">
        <f>SUM(B22,D22,F22,H22)</f>
        <v>1</v>
      </c>
      <c r="C51" s="353" t="str">
        <f>IF(ISERROR(B51),"SIN VALOR",IF(AND(B51&gt;=1,B51&lt;8),D43,IF(AND(B51&gt;=8,B51&lt;12),D44,IF(AND(B51&gt;=12),D45))))</f>
        <v>Entre &gt;2,3% y &lt;=3%</v>
      </c>
      <c r="D51" s="353" t="s">
        <v>699</v>
      </c>
      <c r="E51" s="1540">
        <v>5000000</v>
      </c>
      <c r="F51" s="1678" t="str">
        <f>IF(ISERROR(B51),"SIN VALOR",IF(AND(B51&lt;8),"3%",IF(AND(B51&gt;=8,B51&lt;12),"2,3%",IF(AND(B51&gt;=12),"1,7%"))))</f>
        <v>3%</v>
      </c>
      <c r="G51" s="1566">
        <f>$E$51*$F$51</f>
        <v>150000</v>
      </c>
      <c r="H51" s="316"/>
      <c r="N51" s="352">
        <f>IF(C6="206 - Fondo de Prestaciones Económicas, Cesantías y Pensiones – FONCEP ",SUM(L22,N22,P22,R22),IF(C6="262 - Empresa de Transporte del Tercer Milenio - Transmilenio S.A. ",SUM(L22,N22,P22,R22),""))</f>
        <v>1</v>
      </c>
      <c r="O51" s="353" t="str">
        <f>IF(C6="206 - Fondo de Prestaciones Económicas, Cesantías y Pensiones – FONCEP ",IF(ISERROR(N51),"SIN VALOR",IF(AND(N51&gt;=1,N51&lt;8),D43,IF(AND(N51&gt;=8,N51&lt;12),D44,IF(AND(N51&gt;=12),D45)))),IF(C6="262 - Empresa de Transporte del Tercer Milenio - Transmilenio S.A. ",IF(ISERROR(N51),"SIN VALOR",IF(AND(N51&gt;=1,N51&lt;8),D43,IF(AND(N51&gt;=8,N51&lt;12),D44,IF(AND(N51&gt;=12),D45)))),""))</f>
        <v>Entre &gt;2,3% y &lt;=3%</v>
      </c>
      <c r="P51" s="353" t="str">
        <f>IF(C6="206 - Fondo de Prestaciones Económicas, Cesantías y Pensiones – FONCEP ",$D$51,IF(C6="262 - Empresa de Transporte del Tercer Milenio - Transmilenio S.A. ",$D$51,""))</f>
        <v>Activos</v>
      </c>
      <c r="Q51" s="1540">
        <v>7000000</v>
      </c>
      <c r="R51" s="353" t="str">
        <f>IF(C6="206 - Fondo de Prestaciones Económicas, Cesantías y Pensiones – FONCEP ",IF(ISERROR(N51),"SIN VALOR",IF(AND(B51&lt;8),"3%",IF(AND(N51&gt;=8,N51&lt;12),"2,3%",IF(AND(N51&gt;=12),"1,7%")))),IF(C6="262 - Empresa de Transporte del Tercer Milenio - Transmilenio S.A. ",IF(ISERROR(N51),"SIN VALOR",IF(AND(N51&lt;8),"3%",IF(AND(N51&gt;=8,N51&lt;12),"2,3%",IF(AND(N51&gt;=12),"1,7%")))),""))</f>
        <v>3%</v>
      </c>
      <c r="S51" s="983">
        <f>IF(C6="206 - Fondo de Prestaciones Económicas, Cesantías y Pensiones – FONCEP ",$R$51*$Q$51,IF(C6="262 - Empresa de Transporte del Tercer Milenio - Transmilenio S.A. ",$R$51*$Q$51,""))</f>
        <v>210000</v>
      </c>
    </row>
    <row r="52" spans="2:24" ht="12" customHeight="1" x14ac:dyDescent="0.25">
      <c r="B52" s="342"/>
      <c r="C52" s="324"/>
      <c r="D52" s="320"/>
      <c r="E52" s="1542"/>
      <c r="F52" s="347"/>
      <c r="G52" s="348"/>
      <c r="H52" s="316"/>
      <c r="N52" s="342"/>
      <c r="O52" s="320"/>
      <c r="P52" s="320"/>
      <c r="Q52" s="333"/>
      <c r="R52" s="347"/>
      <c r="S52" s="1150"/>
    </row>
    <row r="53" spans="2:24" ht="60" customHeight="1" x14ac:dyDescent="0.25">
      <c r="B53" s="1948" t="s">
        <v>727</v>
      </c>
      <c r="C53" s="1948"/>
      <c r="D53" s="1948"/>
      <c r="E53" s="1948"/>
      <c r="F53" s="1948"/>
      <c r="G53" s="1948"/>
      <c r="H53" s="316"/>
      <c r="N53" s="1991" t="str">
        <f>IF(C6="206 - Fondo de Prestaciones Económicas, Cesantías y Pensiones – FONCEP ","Esta sección se alimenta automáticamente al diligenciar lo establecido en el numeral 2 de este instructivo. El auditor solamente debe registrar el valor total de los activos y automáticamente le generara el valor de la materialidad en pesos.",IF(C6="262 - Empresa de Transporte del Tercer Milenio - Transmilenio S.A. ","Esta sección se alimenta automáticamente al diligenciar lo establecido en el numeral 2 de este instructivo. El auditor solamente debe registrar el valor total de los activos y automáticamente le generara el valor de la materialidad en pesos.",""))</f>
        <v>Esta sección se alimenta automáticamente al diligenciar lo establecido en el numeral 2 de este instructivo. El auditor solamente debe registrar el valor total de los activos y automáticamente le generara el valor de la materialidad en pesos.</v>
      </c>
      <c r="O53" s="1992"/>
      <c r="P53" s="1992"/>
      <c r="Q53" s="1992"/>
      <c r="R53" s="1992"/>
      <c r="S53" s="1993"/>
    </row>
    <row r="54" spans="2:24" ht="12" customHeight="1" x14ac:dyDescent="0.25">
      <c r="B54" s="342"/>
      <c r="C54" s="324"/>
      <c r="D54" s="320"/>
      <c r="E54" s="333"/>
      <c r="F54" s="347"/>
      <c r="G54" s="348"/>
      <c r="H54" s="316"/>
      <c r="J54" s="342"/>
      <c r="K54" s="342"/>
      <c r="L54" s="320"/>
      <c r="M54" s="320"/>
      <c r="N54" s="333"/>
    </row>
    <row r="55" spans="2:24" ht="30.6" customHeight="1" x14ac:dyDescent="0.25">
      <c r="B55" s="1949" t="s">
        <v>728</v>
      </c>
      <c r="C55" s="1949"/>
      <c r="D55" s="1949"/>
      <c r="E55" s="1949"/>
      <c r="F55" s="1949"/>
      <c r="G55" s="1949"/>
      <c r="H55" s="1949"/>
      <c r="I55" s="1949"/>
      <c r="J55" s="1949"/>
      <c r="K55" s="1949"/>
      <c r="L55" s="1949"/>
      <c r="N55" s="1999" t="str">
        <f>IF(C6="206 - Fondo de Prestaciones Económicas, Cesantías y Pensiones – FONCEP ","6. PARAMETRIZACIÓN DE LAS INCORRECCIONES + LAS IMPOSIBILIDADES QUE DARÍAN LUGAR A OPINIONES MODIFICADAS (Sección que se procesa de manera automática, no requiere diligenciamiento)",IF(C6="262 - Empresa de Transporte del Tercer Milenio - Transmilenio S.A. ","6. PARAMETRIZACIÓN DE LAS INCORRECCIONES + LAS IMPOSIBILIDADES QUE DARÍAN LUGAR A OPINIONES MODIFICADAS (Sección que se procesa de manera automática, no requiere diligenciamiento).",""))</f>
        <v>6. PARAMETRIZACIÓN DE LAS INCORRECCIONES + LAS IMPOSIBILIDADES QUE DARÍAN LUGAR A OPINIONES MODIFICADAS (Sección que se procesa de manera automática, no requiere diligenciamiento).</v>
      </c>
      <c r="O55" s="1999"/>
      <c r="P55" s="1999"/>
      <c r="Q55" s="1999"/>
      <c r="R55" s="1999"/>
      <c r="S55" s="1999"/>
      <c r="T55" s="1999"/>
      <c r="U55" s="1999"/>
      <c r="V55" s="1999"/>
      <c r="W55" s="1999"/>
      <c r="X55" s="1999"/>
    </row>
    <row r="56" spans="2:24" ht="25.5" customHeight="1" x14ac:dyDescent="0.25">
      <c r="B56" s="315"/>
      <c r="C56" s="337"/>
      <c r="D56" s="315"/>
      <c r="E56" s="337"/>
      <c r="F56" s="2003" t="s">
        <v>729</v>
      </c>
      <c r="G56" s="2004"/>
      <c r="H56" s="2004"/>
      <c r="I56" s="2004"/>
      <c r="J56" s="2004"/>
      <c r="K56" s="2004"/>
      <c r="L56" s="2005"/>
      <c r="O56" s="337"/>
      <c r="Q56" s="337"/>
      <c r="R56" s="1994" t="str">
        <f>IF(C6="262 - Empresa de Transporte del Tercer Milenio - Transmilenio S.A. ","SUMA DE LOS %(S) Y DE LOS VALORES DE LAS INCORRECCIONES MAS LAS IMPOSIBILIDADES QUE GENERAN OPINIÓN MODIFICADA SEGÚN EL NIVEL","")</f>
        <v>SUMA DE LOS %(S) Y DE LOS VALORES DE LAS INCORRECCIONES MAS LAS IMPOSIBILIDADES QUE GENERAN OPINIÓN MODIFICADA SEGÚN EL NIVEL</v>
      </c>
      <c r="S56" s="1995"/>
      <c r="T56" s="1995"/>
      <c r="U56" s="1995"/>
      <c r="V56" s="1995"/>
      <c r="W56" s="1995"/>
      <c r="X56" s="1996"/>
    </row>
    <row r="57" spans="2:24" ht="58.5" customHeight="1" x14ac:dyDescent="0.25">
      <c r="B57" s="2006" t="s">
        <v>730</v>
      </c>
      <c r="C57" s="2006"/>
      <c r="D57" s="2006"/>
      <c r="E57" s="2006"/>
      <c r="F57" s="1998" t="s">
        <v>731</v>
      </c>
      <c r="G57" s="1998"/>
      <c r="H57" s="1998" t="s">
        <v>732</v>
      </c>
      <c r="I57" s="1998"/>
      <c r="J57" s="1998"/>
      <c r="K57" s="1998"/>
      <c r="L57" s="354" t="s">
        <v>733</v>
      </c>
      <c r="M57" s="333"/>
      <c r="N57" s="1997" t="str">
        <f>IF(C6="206 - Fondo de Prestaciones Económicas, Cesantías y Pensiones – FONCEP ","MATERIALIDAD DETERMINADA PARA EL SUJETO DE CONTROL",IF(C6="262 - Empresa de Transporte del Tercer Milenio - Transmilenio S.A. ","MATERIALIDAD DETERMINADA PARA EL SUJETO DE CONTROL",""))</f>
        <v>MATERIALIDAD DETERMINADA PARA EL SUJETO DE CONTROL</v>
      </c>
      <c r="O57" s="1997"/>
      <c r="P57" s="1997"/>
      <c r="Q57" s="1997"/>
      <c r="R57" s="1998" t="str">
        <f>IF(C6="206 - Fondo de Prestaciones Económicas, Cesantías y Pensiones – FONCEP ","SIN SALVEDADES",IF(C6="262 - Empresa de Transporte del Tercer Milenio - Transmilenio S.A. ","SIN SALVEDADES",""))</f>
        <v>SIN SALVEDADES</v>
      </c>
      <c r="S57" s="1998"/>
      <c r="T57" s="1998" t="str">
        <f>IF(C6="206 - Fondo de Prestaciones Económicas, Cesantías y Pensiones – FONCEP ","MATERIALES NO GENERALIZADAS = CON SALVEDADES",IF(C6="262 - Empresa de Transporte del Tercer Milenio - Transmilenio S.A. ","MATERIALES NO GENERALIZADAS = CON SALVEDADES",""))</f>
        <v>MATERIALES NO GENERALIZADAS = CON SALVEDADES</v>
      </c>
      <c r="U57" s="1998"/>
      <c r="V57" s="1998"/>
      <c r="W57" s="1998"/>
      <c r="X57" s="354" t="str">
        <f>IF(C6="206 - Fondo de Prestaciones Económicas, Cesantías y Pensiones – FONCEP ","MATERIALES GENERALIZADAS = NEGATIVA/ ABSTENCIÓN",IF(C6="262 - Empresa de Transporte del Tercer Milenio - Transmilenio S.A. ","MATERIALES GENERALIZADAS = NEGATIVA/ ABSTENCIÓN",""))</f>
        <v>MATERIALES GENERALIZADAS = NEGATIVA/ ABSTENCIÓN</v>
      </c>
    </row>
    <row r="58" spans="2:24" ht="25.5" x14ac:dyDescent="0.25">
      <c r="B58" s="355" t="s">
        <v>734</v>
      </c>
      <c r="C58" s="972" t="s">
        <v>735</v>
      </c>
      <c r="D58" s="356" t="str">
        <f>C51</f>
        <v>Entre &gt;2,3% y &lt;=3%</v>
      </c>
      <c r="E58" s="357" t="str">
        <f>IF(D58=D79,C79,IF(D58=D77,C77,C78))</f>
        <v xml:space="preserve">Valor Material en NIVEL 1 </v>
      </c>
      <c r="F58" s="1985" t="s">
        <v>736</v>
      </c>
      <c r="G58" s="1985"/>
      <c r="H58" s="1986" t="s">
        <v>737</v>
      </c>
      <c r="I58" s="1986"/>
      <c r="J58" s="1986"/>
      <c r="K58" s="1986"/>
      <c r="L58" s="358" t="s">
        <v>738</v>
      </c>
      <c r="M58" s="320"/>
      <c r="N58" s="355" t="str">
        <f>IF(C6="206 - Fondo de Prestaciones Económicas, Cesantías y Pensiones – FONCEP ","Base Seleccionada",IF(C6="262 - Empresa de Transporte del Tercer Milenio - Transmilenio S.A. ","Base Seleccionada",""))</f>
        <v>Base Seleccionada</v>
      </c>
      <c r="O58" s="972" t="str">
        <f>IF(C6="206 - Fondo de Prestaciones Económicas, Cesantías y Pensiones – FONCEP ","Monto",IF(C6="262 - Empresa de Transporte del Tercer Milenio - Transmilenio S.A. ","Monto",""))</f>
        <v>Monto</v>
      </c>
      <c r="P58" s="356" t="str">
        <f>IF(C6="206 - Fondo de Prestaciones Económicas, Cesantías y Pensiones – FONCEP ",O51,IF(C6="262 - Empresa de Transporte del Tercer Milenio - Transmilenio S.A. ",O51,""))</f>
        <v>Entre &gt;2,3% y &lt;=3%</v>
      </c>
      <c r="Q58" s="357" t="str">
        <f>IF(D58=D79,C79,IF(D58=D77,C77,C78))</f>
        <v xml:space="preserve">Valor Material en NIVEL 1 </v>
      </c>
      <c r="R58" s="1985" t="str">
        <f>IF(C6="206 - Fondo de Prestaciones Económicas, Cesantías y Pensiones – FONCEP ","MENOR QUE 1 VEZ",IF(C6="262 - Empresa de Transporte del Tercer Milenio - Transmilenio S.A. ","MENOR QUE 1 VEZ",""))</f>
        <v>MENOR QUE 1 VEZ</v>
      </c>
      <c r="S58" s="1985"/>
      <c r="T58" s="1986" t="str">
        <f>IF(C6="206 - Fondo de Prestaciones Económicas, Cesantías y Pensiones – FONCEP ","MAYOR O IGUAL QUE 1 Y MENOR QUE 5 VECES",IF(C6="262 - Empresa de Transporte del Tercer Milenio - Transmilenio S.A. ","MAYOR O IGUAL QUE 1 Y MENOR QUE 5 VECES",""))</f>
        <v>MAYOR O IGUAL QUE 1 Y MENOR QUE 5 VECES</v>
      </c>
      <c r="U58" s="1986"/>
      <c r="V58" s="1986"/>
      <c r="W58" s="1986"/>
      <c r="X58" s="1384" t="str">
        <f>IF(C6="206 - Fondo de Prestaciones Económicas, Cesantías y Pensiones – FONCEP ","IGUAL O MAYOR  QUE 5 VECES",IF(C6="262 - Empresa de Transporte del Tercer Milenio - Transmilenio S.A. ","IGUAL O MAYOR  QUE 5 VECES",""))</f>
        <v>IGUAL O MAYOR  QUE 5 VECES</v>
      </c>
    </row>
    <row r="59" spans="2:24" x14ac:dyDescent="0.25">
      <c r="B59" s="1093" t="str">
        <f>+D51</f>
        <v>Activos</v>
      </c>
      <c r="C59" s="359">
        <f>E51</f>
        <v>5000000</v>
      </c>
      <c r="D59" s="360" t="str">
        <f>F51</f>
        <v>3%</v>
      </c>
      <c r="E59" s="361" t="s">
        <v>739</v>
      </c>
      <c r="F59" s="362" t="s">
        <v>740</v>
      </c>
      <c r="G59" s="363" t="str">
        <f>D59</f>
        <v>3%</v>
      </c>
      <c r="H59" s="364" t="s">
        <v>741</v>
      </c>
      <c r="I59" s="363" t="str">
        <f>D59</f>
        <v>3%</v>
      </c>
      <c r="J59" s="336" t="s">
        <v>742</v>
      </c>
      <c r="K59" s="360">
        <f>D59*5</f>
        <v>0.15</v>
      </c>
      <c r="L59" s="360">
        <f>D59*5</f>
        <v>0.15</v>
      </c>
      <c r="M59" s="320"/>
      <c r="N59" s="1398" t="str">
        <f>+P51</f>
        <v>Activos</v>
      </c>
      <c r="O59" s="1399">
        <f>+Q51</f>
        <v>7000000</v>
      </c>
      <c r="P59" s="363" t="str">
        <f>+R51</f>
        <v>3%</v>
      </c>
      <c r="Q59" s="361" t="str">
        <f>IF(C6="206 - Fondo de Prestaciones Económicas, Cesantías y Pensiones – FONCEP ","En %",IF(C6="262 - Empresa de Transporte del Tercer Milenio - Transmilenio S.A. ","En %",""))</f>
        <v>En %</v>
      </c>
      <c r="R59" s="362" t="str">
        <f>IF(C6="206 - Fondo de Prestaciones Económicas, Cesantías y Pensiones – FONCEP ","Menor que",IF(C6="262 - Empresa de Transporte del Tercer Milenio - Transmilenio S.A. ","Menor que",""))</f>
        <v>Menor que</v>
      </c>
      <c r="S59" s="363" t="str">
        <f>+P59</f>
        <v>3%</v>
      </c>
      <c r="T59" s="362" t="str">
        <f>IF(C6="206 - Fondo de Prestaciones Económicas, Cesantías y Pensiones – FONCEP ","Entre",IF(C6="262 - Empresa de Transporte del Tercer Milenio - Transmilenio S.A. ","Entre",""))</f>
        <v>Entre</v>
      </c>
      <c r="U59" s="363" t="str">
        <f>+P59</f>
        <v>3%</v>
      </c>
      <c r="V59" s="362" t="str">
        <f>IF(C6="206 - Fondo de Prestaciones Económicas, Cesantías y Pensiones – FONCEP ","Menor que",IF(C6="262 - Empresa de Transporte del Tercer Milenio - Transmilenio S.A. ","y Menor que",""))</f>
        <v>y Menor que</v>
      </c>
      <c r="W59" s="363">
        <f>IF(C6="206 - Fondo de Prestaciones Económicas, Cesantías y Pensiones – FONCEP ",P59*5,IF(C6="262 - Empresa de Transporte del Tercer Milenio - Transmilenio S.A. ",P59*5,""))</f>
        <v>0.15</v>
      </c>
      <c r="X59" s="363">
        <f>IF(C6="206 - Fondo de Prestaciones Económicas, Cesantías y Pensiones – FONCEP ",P59*5,IF(C6="262 - Empresa de Transporte del Tercer Milenio - Transmilenio S.A. ",P59*5,""))</f>
        <v>0.15</v>
      </c>
    </row>
    <row r="60" spans="2:24" x14ac:dyDescent="0.25">
      <c r="B60" s="365"/>
      <c r="C60" s="359"/>
      <c r="D60" s="366">
        <f>C59*D59</f>
        <v>150000</v>
      </c>
      <c r="E60" s="361" t="s">
        <v>743</v>
      </c>
      <c r="F60" s="362" t="s">
        <v>740</v>
      </c>
      <c r="G60" s="367">
        <f>D60</f>
        <v>150000</v>
      </c>
      <c r="H60" s="364" t="s">
        <v>741</v>
      </c>
      <c r="I60" s="367">
        <f>D60</f>
        <v>150000</v>
      </c>
      <c r="J60" s="336" t="s">
        <v>742</v>
      </c>
      <c r="K60" s="367">
        <f>D60*5</f>
        <v>750000</v>
      </c>
      <c r="L60" s="368">
        <f>D60*5</f>
        <v>750000</v>
      </c>
      <c r="M60" s="320"/>
      <c r="N60" s="972"/>
      <c r="O60" s="1399"/>
      <c r="P60" s="1395">
        <f>IF(C6="206 - Fondo de Prestaciones Económicas, Cesantías y Pensiones – FONCEP ",O59*P59,IF(C6="262 - Empresa de Transporte del Tercer Milenio - Transmilenio S.A. ",O59*P59,""))</f>
        <v>210000</v>
      </c>
      <c r="Q60" s="361" t="str">
        <f>IF(C6="206 - Fondo de Prestaciones Económicas, Cesantías y Pensiones – FONCEP ","En Pesos",IF(C6="262 - Empresa de Transporte del Tercer Milenio - Transmilenio S.A. ","En Pesos",""))</f>
        <v>En Pesos</v>
      </c>
      <c r="R60" s="362" t="str">
        <f>IF(C6="206 - Fondo de Prestaciones Económicas, Cesantías y Pensiones – FONCEP ","Menor que",IF(C6="262 - Empresa de Transporte del Tercer Milenio - Transmilenio S.A. ","Menor que",""))</f>
        <v>Menor que</v>
      </c>
      <c r="S60" s="367">
        <f>+P60</f>
        <v>210000</v>
      </c>
      <c r="T60" s="362" t="str">
        <f>IF(C6="206 - Fondo de Prestaciones Económicas, Cesantías y Pensiones – FONCEP ","Entre",IF(C6="262 - Empresa de Transporte del Tercer Milenio - Transmilenio S.A. ","Entre",""))</f>
        <v>Entre</v>
      </c>
      <c r="U60" s="367">
        <f>+P60</f>
        <v>210000</v>
      </c>
      <c r="V60" s="362" t="str">
        <f>IF(C6="206 - Fondo de Prestaciones Económicas, Cesantías y Pensiones – FONCEP ","Menor que",IF(C6="262 - Empresa de Transporte del Tercer Milenio - Transmilenio S.A. ","y Menor que",""))</f>
        <v>y Menor que</v>
      </c>
      <c r="W60" s="367">
        <f>IF(C6="206 - Fondo de Prestaciones Económicas, Cesantías y Pensiones – FONCEP ",P60*5,IF(C6="262 - Empresa de Transporte del Tercer Milenio - Transmilenio S.A. ",P60*5,""))</f>
        <v>1050000</v>
      </c>
      <c r="X60" s="368">
        <f>IF(C6="206 - Fondo de Prestaciones Económicas, Cesantías y Pensiones – FONCEP ",P60*5,IF(C6="262 - Empresa de Transporte del Tercer Milenio - Transmilenio S.A. ",P60*5,""))</f>
        <v>1050000</v>
      </c>
    </row>
    <row r="61" spans="2:24" x14ac:dyDescent="0.25">
      <c r="B61" s="315"/>
      <c r="C61" s="315"/>
      <c r="D61" s="315"/>
      <c r="E61" s="315"/>
      <c r="M61" s="327"/>
      <c r="N61" s="327"/>
      <c r="O61" s="327"/>
    </row>
    <row r="63" spans="2:24" s="307" customFormat="1" ht="12.75" customHeight="1" x14ac:dyDescent="0.25">
      <c r="B63" s="1976" t="s">
        <v>744</v>
      </c>
      <c r="C63" s="1977"/>
      <c r="D63" s="1977"/>
      <c r="E63" s="1977"/>
      <c r="F63" s="1977"/>
      <c r="G63" s="1977"/>
      <c r="H63" s="1977"/>
      <c r="I63" s="1978"/>
      <c r="N63" s="1976" t="s">
        <v>744</v>
      </c>
      <c r="O63" s="1977"/>
      <c r="P63" s="1977"/>
      <c r="Q63" s="1977"/>
      <c r="R63" s="1977"/>
      <c r="S63" s="1977"/>
      <c r="T63" s="1977"/>
      <c r="U63" s="1978"/>
    </row>
    <row r="64" spans="2:24" s="307" customFormat="1" ht="12.75" customHeight="1" x14ac:dyDescent="0.25">
      <c r="B64" s="1979"/>
      <c r="C64" s="1980"/>
      <c r="D64" s="1980"/>
      <c r="E64" s="1980"/>
      <c r="F64" s="1980"/>
      <c r="G64" s="1980"/>
      <c r="H64" s="1980"/>
      <c r="I64" s="1981"/>
      <c r="N64" s="1979"/>
      <c r="O64" s="1980"/>
      <c r="P64" s="1980"/>
      <c r="Q64" s="1980"/>
      <c r="R64" s="1980"/>
      <c r="S64" s="1980"/>
      <c r="T64" s="1980"/>
      <c r="U64" s="1981"/>
    </row>
    <row r="65" spans="2:21" s="307" customFormat="1" ht="12.75" customHeight="1" x14ac:dyDescent="0.25">
      <c r="B65" s="1982"/>
      <c r="C65" s="1983"/>
      <c r="D65" s="1983"/>
      <c r="E65" s="1983"/>
      <c r="F65" s="1983"/>
      <c r="G65" s="1983"/>
      <c r="H65" s="1983"/>
      <c r="I65" s="1984"/>
      <c r="N65" s="1982"/>
      <c r="O65" s="1983"/>
      <c r="P65" s="1983"/>
      <c r="Q65" s="1983"/>
      <c r="R65" s="1983"/>
      <c r="S65" s="1983"/>
      <c r="T65" s="1983"/>
      <c r="U65" s="1984"/>
    </row>
    <row r="66" spans="2:21" s="307" customFormat="1" ht="30" x14ac:dyDescent="0.25">
      <c r="B66" s="1969" t="s">
        <v>745</v>
      </c>
      <c r="C66" s="1970"/>
      <c r="D66" s="1970"/>
      <c r="E66" s="1970"/>
      <c r="F66" s="1971"/>
      <c r="G66" s="1355" t="s">
        <v>746</v>
      </c>
      <c r="H66" s="1972"/>
      <c r="I66" s="1973"/>
      <c r="N66" s="1969" t="s">
        <v>745</v>
      </c>
      <c r="O66" s="1970"/>
      <c r="P66" s="1970"/>
      <c r="Q66" s="1970"/>
      <c r="R66" s="1971"/>
      <c r="S66" s="1355" t="s">
        <v>746</v>
      </c>
      <c r="T66" s="1972"/>
      <c r="U66" s="1973"/>
    </row>
    <row r="67" spans="2:21" s="307" customFormat="1" ht="15" x14ac:dyDescent="0.25">
      <c r="B67" s="1969" t="s">
        <v>747</v>
      </c>
      <c r="C67" s="1970"/>
      <c r="D67" s="1970"/>
      <c r="E67" s="1970"/>
      <c r="F67" s="1970"/>
      <c r="G67" s="1970"/>
      <c r="H67" s="1970"/>
      <c r="I67" s="1971"/>
      <c r="N67" s="1969" t="s">
        <v>747</v>
      </c>
      <c r="O67" s="1970"/>
      <c r="P67" s="1970"/>
      <c r="Q67" s="1970"/>
      <c r="R67" s="1970"/>
      <c r="S67" s="1970"/>
      <c r="T67" s="1970"/>
      <c r="U67" s="1971"/>
    </row>
    <row r="68" spans="2:21" s="307" customFormat="1" ht="27" customHeight="1" x14ac:dyDescent="0.25">
      <c r="B68" s="1974" t="s">
        <v>1713</v>
      </c>
      <c r="C68" s="1975"/>
      <c r="D68" s="1969" t="s">
        <v>1714</v>
      </c>
      <c r="E68" s="1970"/>
      <c r="F68" s="1971"/>
      <c r="G68" s="1355" t="s">
        <v>748</v>
      </c>
      <c r="H68" s="1972"/>
      <c r="I68" s="1973"/>
      <c r="N68" s="1974" t="s">
        <v>1713</v>
      </c>
      <c r="O68" s="1975"/>
      <c r="P68" s="1969" t="s">
        <v>1714</v>
      </c>
      <c r="Q68" s="1970"/>
      <c r="R68" s="1971"/>
      <c r="S68" s="1355" t="s">
        <v>748</v>
      </c>
      <c r="T68" s="1972"/>
      <c r="U68" s="1973"/>
    </row>
    <row r="69" spans="2:21" s="307" customFormat="1" ht="15" x14ac:dyDescent="0.25">
      <c r="B69" s="1969" t="s">
        <v>749</v>
      </c>
      <c r="C69" s="1970"/>
      <c r="D69" s="1970"/>
      <c r="E69" s="1970"/>
      <c r="F69" s="1970"/>
      <c r="G69" s="1970"/>
      <c r="H69" s="1970"/>
      <c r="I69" s="1971"/>
      <c r="N69" s="1969" t="s">
        <v>749</v>
      </c>
      <c r="O69" s="1970"/>
      <c r="P69" s="1970"/>
      <c r="Q69" s="1970"/>
      <c r="R69" s="1970"/>
      <c r="S69" s="1970"/>
      <c r="T69" s="1970"/>
      <c r="U69" s="1971"/>
    </row>
    <row r="70" spans="2:21" s="307" customFormat="1" ht="29.25" customHeight="1" x14ac:dyDescent="0.25">
      <c r="B70" s="1355" t="s">
        <v>1716</v>
      </c>
      <c r="C70" s="1355"/>
      <c r="D70" s="1353" t="s">
        <v>1677</v>
      </c>
      <c r="E70" s="1353" t="s">
        <v>750</v>
      </c>
      <c r="F70" s="1354"/>
      <c r="G70" s="1355" t="s">
        <v>751</v>
      </c>
      <c r="H70" s="1972"/>
      <c r="I70" s="1973"/>
      <c r="N70" s="1355" t="s">
        <v>1716</v>
      </c>
      <c r="O70" s="1355"/>
      <c r="P70" s="1353" t="s">
        <v>1714</v>
      </c>
      <c r="Q70" s="1353" t="s">
        <v>750</v>
      </c>
      <c r="R70" s="1354"/>
      <c r="S70" s="1355" t="s">
        <v>751</v>
      </c>
      <c r="T70" s="1972"/>
      <c r="U70" s="1973"/>
    </row>
    <row r="71" spans="2:21" s="307" customFormat="1" x14ac:dyDescent="0.25"/>
    <row r="75" spans="2:21" ht="16.899999999999999" customHeight="1" x14ac:dyDescent="0.25"/>
    <row r="76" spans="2:21" s="1401" customFormat="1" hidden="1" x14ac:dyDescent="0.25"/>
    <row r="77" spans="2:21" s="1401" customFormat="1" ht="25.5" hidden="1" x14ac:dyDescent="0.25">
      <c r="C77" s="1402" t="s">
        <v>1698</v>
      </c>
      <c r="D77" s="344" t="s">
        <v>711</v>
      </c>
    </row>
    <row r="78" spans="2:21" s="1401" customFormat="1" ht="25.5" hidden="1" x14ac:dyDescent="0.25">
      <c r="C78" s="1402" t="s">
        <v>1699</v>
      </c>
      <c r="D78" s="344" t="s">
        <v>715</v>
      </c>
    </row>
    <row r="79" spans="2:21" s="1401" customFormat="1" ht="25.5" hidden="1" x14ac:dyDescent="0.25">
      <c r="C79" s="1402" t="s">
        <v>1700</v>
      </c>
      <c r="D79" s="344" t="s">
        <v>719</v>
      </c>
    </row>
    <row r="80" spans="2:21" s="1401" customFormat="1" hidden="1" x14ac:dyDescent="0.25"/>
    <row r="81" hidden="1" x14ac:dyDescent="0.25"/>
    <row r="171" spans="4:4" hidden="1" x14ac:dyDescent="0.25">
      <c r="D171" s="268" t="s">
        <v>699</v>
      </c>
    </row>
    <row r="172" spans="4:4" hidden="1" x14ac:dyDescent="0.25">
      <c r="D172" s="268" t="s">
        <v>1681</v>
      </c>
    </row>
    <row r="173" spans="4:4" hidden="1" x14ac:dyDescent="0.25">
      <c r="D173" s="268" t="s">
        <v>1682</v>
      </c>
    </row>
    <row r="174" spans="4:4" hidden="1" x14ac:dyDescent="0.25">
      <c r="D174" s="268" t="s">
        <v>675</v>
      </c>
    </row>
    <row r="175" spans="4:4" hidden="1" x14ac:dyDescent="0.25">
      <c r="D175" s="268" t="s">
        <v>1683</v>
      </c>
    </row>
    <row r="176" spans="4:4" hidden="1" x14ac:dyDescent="0.25">
      <c r="D176" s="268" t="s">
        <v>1684</v>
      </c>
    </row>
  </sheetData>
  <sheetProtection algorithmName="SHA-512" hashValue="XBAPtyU0rUh/lo1EOvoiGTT7PeAx/SSRAe/QSFKO30XPZfGgEPz0endheisHMLtJc0TDh8iQaIa91RG/3gRPFA==" saltValue="Wq40HSjznDhdjI7bu6aE5g==" spinCount="100000" sheet="1" pivotTables="0"/>
  <mergeCells count="81">
    <mergeCell ref="B26:E26"/>
    <mergeCell ref="L26:O26"/>
    <mergeCell ref="L27:O27"/>
    <mergeCell ref="N68:O68"/>
    <mergeCell ref="P68:R68"/>
    <mergeCell ref="L28:O28"/>
    <mergeCell ref="B63:I65"/>
    <mergeCell ref="F56:L56"/>
    <mergeCell ref="B57:E57"/>
    <mergeCell ref="F57:G57"/>
    <mergeCell ref="H57:K57"/>
    <mergeCell ref="F58:G58"/>
    <mergeCell ref="H58:K58"/>
    <mergeCell ref="F44:G45"/>
    <mergeCell ref="B47:G47"/>
    <mergeCell ref="B49:G49"/>
    <mergeCell ref="R58:S58"/>
    <mergeCell ref="T58:W58"/>
    <mergeCell ref="N49:S49"/>
    <mergeCell ref="N48:S48"/>
    <mergeCell ref="N53:S53"/>
    <mergeCell ref="R56:X56"/>
    <mergeCell ref="N57:Q57"/>
    <mergeCell ref="R57:S57"/>
    <mergeCell ref="T57:W57"/>
    <mergeCell ref="N55:X55"/>
    <mergeCell ref="N69:U69"/>
    <mergeCell ref="T70:U70"/>
    <mergeCell ref="N63:U65"/>
    <mergeCell ref="N66:R66"/>
    <mergeCell ref="T66:U66"/>
    <mergeCell ref="N67:U67"/>
    <mergeCell ref="T68:U68"/>
    <mergeCell ref="B69:I69"/>
    <mergeCell ref="B66:F66"/>
    <mergeCell ref="D68:F68"/>
    <mergeCell ref="H70:I70"/>
    <mergeCell ref="B67:I67"/>
    <mergeCell ref="B68:C68"/>
    <mergeCell ref="H66:I66"/>
    <mergeCell ref="H68:I68"/>
    <mergeCell ref="D36:F37"/>
    <mergeCell ref="B39:I39"/>
    <mergeCell ref="B41:G41"/>
    <mergeCell ref="F42:G42"/>
    <mergeCell ref="B28:E28"/>
    <mergeCell ref="B1:B2"/>
    <mergeCell ref="B3:I3"/>
    <mergeCell ref="B4:I4"/>
    <mergeCell ref="C5:I5"/>
    <mergeCell ref="C6:E6"/>
    <mergeCell ref="G6:I6"/>
    <mergeCell ref="C1:H2"/>
    <mergeCell ref="B53:G53"/>
    <mergeCell ref="B55:L55"/>
    <mergeCell ref="C7:E7"/>
    <mergeCell ref="G7:I7"/>
    <mergeCell ref="B9:I9"/>
    <mergeCell ref="B11:I11"/>
    <mergeCell ref="B13:I13"/>
    <mergeCell ref="B14:I14"/>
    <mergeCell ref="F43:G43"/>
    <mergeCell ref="B15:G15"/>
    <mergeCell ref="H15:I15"/>
    <mergeCell ref="B24:I24"/>
    <mergeCell ref="B27:E27"/>
    <mergeCell ref="B32:I32"/>
    <mergeCell ref="B34:F34"/>
    <mergeCell ref="D35:F35"/>
    <mergeCell ref="M5:S5"/>
    <mergeCell ref="M6:O6"/>
    <mergeCell ref="Q6:S6"/>
    <mergeCell ref="M7:O7"/>
    <mergeCell ref="Q7:S7"/>
    <mergeCell ref="L24:S24"/>
    <mergeCell ref="L9:S9"/>
    <mergeCell ref="L11:S11"/>
    <mergeCell ref="L13:S13"/>
    <mergeCell ref="L14:S14"/>
    <mergeCell ref="L15:Q15"/>
    <mergeCell ref="R15:S15"/>
  </mergeCells>
  <conditionalFormatting sqref="I1:I2">
    <cfRule type="cellIs" dxfId="182" priority="1" operator="equal">
      <formula>"INEXISTENTE"</formula>
    </cfRule>
    <cfRule type="cellIs" dxfId="181" priority="2" operator="equal">
      <formula>"INADECUADO"</formula>
    </cfRule>
    <cfRule type="cellIs" dxfId="180" priority="3" operator="equal">
      <formula>"PARCIALMENTE ADECUADO"</formula>
    </cfRule>
    <cfRule type="cellIs" dxfId="179" priority="4" operator="equal">
      <formula>"ADECUADO"</formula>
    </cfRule>
    <cfRule type="cellIs" dxfId="178" priority="5" operator="equal">
      <formula>"ERROR"</formula>
    </cfRule>
  </conditionalFormatting>
  <dataValidations count="9">
    <dataValidation type="list" allowBlank="1" showInputMessage="1" showErrorMessage="1" sqref="WVL983056 D30:D31 WLP983056 WBT983056 VRX983056 VIB983056 UYF983056 UOJ983056 UEN983056 TUR983056 TKV983056 TAZ983056 SRD983056 SHH983056 RXL983056 RNP983056 RDT983056 QTX983056 QKB983056 QAF983056 PQJ983056 PGN983056 OWR983056 OMV983056 OCZ983056 NTD983056 NJH983056 MZL983056 MPP983056 MFT983056 LVX983056 LMB983056 LCF983056 KSJ983056 KIN983056 JYR983056 JOV983056 JEZ983056 IVD983056 ILH983056 IBL983056 HRP983056 HHT983056 GXX983056 GOB983056 GEF983056 FUJ983056 FKN983056 FAR983056 EQV983056 EGZ983056 DXD983056 DNH983056 DDL983056 CTP983056 CJT983056 BZX983056 BQB983056 BGF983056 AWJ983056 AMN983056 ACR983056 SV983056 IZ983056 D983056 WVL917520 WLP917520 WBT917520 VRX917520 VIB917520 UYF917520 UOJ917520 UEN917520 TUR917520 TKV917520 TAZ917520 SRD917520 SHH917520 RXL917520 RNP917520 RDT917520 QTX917520 QKB917520 QAF917520 PQJ917520 PGN917520 OWR917520 OMV917520 OCZ917520 NTD917520 NJH917520 MZL917520 MPP917520 MFT917520 LVX917520 LMB917520 LCF917520 KSJ917520 KIN917520 JYR917520 JOV917520 JEZ917520 IVD917520 ILH917520 IBL917520 HRP917520 HHT917520 GXX917520 GOB917520 GEF917520 FUJ917520 FKN917520 FAR917520 EQV917520 EGZ917520 DXD917520 DNH917520 DDL917520 CTP917520 CJT917520 BZX917520 BQB917520 BGF917520 AWJ917520 AMN917520 ACR917520 SV917520 IZ917520 D917520 WVL851984 WLP851984 WBT851984 VRX851984 VIB851984 UYF851984 UOJ851984 UEN851984 TUR851984 TKV851984 TAZ851984 SRD851984 SHH851984 RXL851984 RNP851984 RDT851984 QTX851984 QKB851984 QAF851984 PQJ851984 PGN851984 OWR851984 OMV851984 OCZ851984 NTD851984 NJH851984 MZL851984 MPP851984 MFT851984 LVX851984 LMB851984 LCF851984 KSJ851984 KIN851984 JYR851984 JOV851984 JEZ851984 IVD851984 ILH851984 IBL851984 HRP851984 HHT851984 GXX851984 GOB851984 GEF851984 FUJ851984 FKN851984 FAR851984 EQV851984 EGZ851984 DXD851984 DNH851984 DDL851984 CTP851984 CJT851984 BZX851984 BQB851984 BGF851984 AWJ851984 AMN851984 ACR851984 SV851984 IZ851984 D851984 WVL786448 WLP786448 WBT786448 VRX786448 VIB786448 UYF786448 UOJ786448 UEN786448 TUR786448 TKV786448 TAZ786448 SRD786448 SHH786448 RXL786448 RNP786448 RDT786448 QTX786448 QKB786448 QAF786448 PQJ786448 PGN786448 OWR786448 OMV786448 OCZ786448 NTD786448 NJH786448 MZL786448 MPP786448 MFT786448 LVX786448 LMB786448 LCF786448 KSJ786448 KIN786448 JYR786448 JOV786448 JEZ786448 IVD786448 ILH786448 IBL786448 HRP786448 HHT786448 GXX786448 GOB786448 GEF786448 FUJ786448 FKN786448 FAR786448 EQV786448 EGZ786448 DXD786448 DNH786448 DDL786448 CTP786448 CJT786448 BZX786448 BQB786448 BGF786448 AWJ786448 AMN786448 ACR786448 SV786448 IZ786448 D786448 WVL720912 WLP720912 WBT720912 VRX720912 VIB720912 UYF720912 UOJ720912 UEN720912 TUR720912 TKV720912 TAZ720912 SRD720912 SHH720912 RXL720912 RNP720912 RDT720912 QTX720912 QKB720912 QAF720912 PQJ720912 PGN720912 OWR720912 OMV720912 OCZ720912 NTD720912 NJH720912 MZL720912 MPP720912 MFT720912 LVX720912 LMB720912 LCF720912 KSJ720912 KIN720912 JYR720912 JOV720912 JEZ720912 IVD720912 ILH720912 IBL720912 HRP720912 HHT720912 GXX720912 GOB720912 GEF720912 FUJ720912 FKN720912 FAR720912 EQV720912 EGZ720912 DXD720912 DNH720912 DDL720912 CTP720912 CJT720912 BZX720912 BQB720912 BGF720912 AWJ720912 AMN720912 ACR720912 SV720912 IZ720912 D720912 WVL655376 WLP655376 WBT655376 VRX655376 VIB655376 UYF655376 UOJ655376 UEN655376 TUR655376 TKV655376 TAZ655376 SRD655376 SHH655376 RXL655376 RNP655376 RDT655376 QTX655376 QKB655376 QAF655376 PQJ655376 PGN655376 OWR655376 OMV655376 OCZ655376 NTD655376 NJH655376 MZL655376 MPP655376 MFT655376 LVX655376 LMB655376 LCF655376 KSJ655376 KIN655376 JYR655376 JOV655376 JEZ655376 IVD655376 ILH655376 IBL655376 HRP655376 HHT655376 GXX655376 GOB655376 GEF655376 FUJ655376 FKN655376 FAR655376 EQV655376 EGZ655376 DXD655376 DNH655376 DDL655376 CTP655376 CJT655376 BZX655376 BQB655376 BGF655376 AWJ655376 AMN655376 ACR655376 SV655376 IZ655376 D655376 WVL589840 WLP589840 WBT589840 VRX589840 VIB589840 UYF589840 UOJ589840 UEN589840 TUR589840 TKV589840 TAZ589840 SRD589840 SHH589840 RXL589840 RNP589840 RDT589840 QTX589840 QKB589840 QAF589840 PQJ589840 PGN589840 OWR589840 OMV589840 OCZ589840 NTD589840 NJH589840 MZL589840 MPP589840 MFT589840 LVX589840 LMB589840 LCF589840 KSJ589840 KIN589840 JYR589840 JOV589840 JEZ589840 IVD589840 ILH589840 IBL589840 HRP589840 HHT589840 GXX589840 GOB589840 GEF589840 FUJ589840 FKN589840 FAR589840 EQV589840 EGZ589840 DXD589840 DNH589840 DDL589840 CTP589840 CJT589840 BZX589840 BQB589840 BGF589840 AWJ589840 AMN589840 ACR589840 SV589840 IZ589840 D589840 WVL524304 WLP524304 WBT524304 VRX524304 VIB524304 UYF524304 UOJ524304 UEN524304 TUR524304 TKV524304 TAZ524304 SRD524304 SHH524304 RXL524304 RNP524304 RDT524304 QTX524304 QKB524304 QAF524304 PQJ524304 PGN524304 OWR524304 OMV524304 OCZ524304 NTD524304 NJH524304 MZL524304 MPP524304 MFT524304 LVX524304 LMB524304 LCF524304 KSJ524304 KIN524304 JYR524304 JOV524304 JEZ524304 IVD524304 ILH524304 IBL524304 HRP524304 HHT524304 GXX524304 GOB524304 GEF524304 FUJ524304 FKN524304 FAR524304 EQV524304 EGZ524304 DXD524304 DNH524304 DDL524304 CTP524304 CJT524304 BZX524304 BQB524304 BGF524304 AWJ524304 AMN524304 ACR524304 SV524304 IZ524304 D524304 WVL458768 WLP458768 WBT458768 VRX458768 VIB458768 UYF458768 UOJ458768 UEN458768 TUR458768 TKV458768 TAZ458768 SRD458768 SHH458768 RXL458768 RNP458768 RDT458768 QTX458768 QKB458768 QAF458768 PQJ458768 PGN458768 OWR458768 OMV458768 OCZ458768 NTD458768 NJH458768 MZL458768 MPP458768 MFT458768 LVX458768 LMB458768 LCF458768 KSJ458768 KIN458768 JYR458768 JOV458768 JEZ458768 IVD458768 ILH458768 IBL458768 HRP458768 HHT458768 GXX458768 GOB458768 GEF458768 FUJ458768 FKN458768 FAR458768 EQV458768 EGZ458768 DXD458768 DNH458768 DDL458768 CTP458768 CJT458768 BZX458768 BQB458768 BGF458768 AWJ458768 AMN458768 ACR458768 SV458768 IZ458768 D458768 WVL393232 WLP393232 WBT393232 VRX393232 VIB393232 UYF393232 UOJ393232 UEN393232 TUR393232 TKV393232 TAZ393232 SRD393232 SHH393232 RXL393232 RNP393232 RDT393232 QTX393232 QKB393232 QAF393232 PQJ393232 PGN393232 OWR393232 OMV393232 OCZ393232 NTD393232 NJH393232 MZL393232 MPP393232 MFT393232 LVX393232 LMB393232 LCF393232 KSJ393232 KIN393232 JYR393232 JOV393232 JEZ393232 IVD393232 ILH393232 IBL393232 HRP393232 HHT393232 GXX393232 GOB393232 GEF393232 FUJ393232 FKN393232 FAR393232 EQV393232 EGZ393232 DXD393232 DNH393232 DDL393232 CTP393232 CJT393232 BZX393232 BQB393232 BGF393232 AWJ393232 AMN393232 ACR393232 SV393232 IZ393232 D393232 WVL327696 WLP327696 WBT327696 VRX327696 VIB327696 UYF327696 UOJ327696 UEN327696 TUR327696 TKV327696 TAZ327696 SRD327696 SHH327696 RXL327696 RNP327696 RDT327696 QTX327696 QKB327696 QAF327696 PQJ327696 PGN327696 OWR327696 OMV327696 OCZ327696 NTD327696 NJH327696 MZL327696 MPP327696 MFT327696 LVX327696 LMB327696 LCF327696 KSJ327696 KIN327696 JYR327696 JOV327696 JEZ327696 IVD327696 ILH327696 IBL327696 HRP327696 HHT327696 GXX327696 GOB327696 GEF327696 FUJ327696 FKN327696 FAR327696 EQV327696 EGZ327696 DXD327696 DNH327696 DDL327696 CTP327696 CJT327696 BZX327696 BQB327696 BGF327696 AWJ327696 AMN327696 ACR327696 SV327696 IZ327696 D327696 WVL262160 WLP262160 WBT262160 VRX262160 VIB262160 UYF262160 UOJ262160 UEN262160 TUR262160 TKV262160 TAZ262160 SRD262160 SHH262160 RXL262160 RNP262160 RDT262160 QTX262160 QKB262160 QAF262160 PQJ262160 PGN262160 OWR262160 OMV262160 OCZ262160 NTD262160 NJH262160 MZL262160 MPP262160 MFT262160 LVX262160 LMB262160 LCF262160 KSJ262160 KIN262160 JYR262160 JOV262160 JEZ262160 IVD262160 ILH262160 IBL262160 HRP262160 HHT262160 GXX262160 GOB262160 GEF262160 FUJ262160 FKN262160 FAR262160 EQV262160 EGZ262160 DXD262160 DNH262160 DDL262160 CTP262160 CJT262160 BZX262160 BQB262160 BGF262160 AWJ262160 AMN262160 ACR262160 SV262160 IZ262160 D262160 WVL196624 WLP196624 WBT196624 VRX196624 VIB196624 UYF196624 UOJ196624 UEN196624 TUR196624 TKV196624 TAZ196624 SRD196624 SHH196624 RXL196624 RNP196624 RDT196624 QTX196624 QKB196624 QAF196624 PQJ196624 PGN196624 OWR196624 OMV196624 OCZ196624 NTD196624 NJH196624 MZL196624 MPP196624 MFT196624 LVX196624 LMB196624 LCF196624 KSJ196624 KIN196624 JYR196624 JOV196624 JEZ196624 IVD196624 ILH196624 IBL196624 HRP196624 HHT196624 GXX196624 GOB196624 GEF196624 FUJ196624 FKN196624 FAR196624 EQV196624 EGZ196624 DXD196624 DNH196624 DDL196624 CTP196624 CJT196624 BZX196624 BQB196624 BGF196624 AWJ196624 AMN196624 ACR196624 SV196624 IZ196624 D196624 WVL131088 WLP131088 WBT131088 VRX131088 VIB131088 UYF131088 UOJ131088 UEN131088 TUR131088 TKV131088 TAZ131088 SRD131088 SHH131088 RXL131088 RNP131088 RDT131088 QTX131088 QKB131088 QAF131088 PQJ131088 PGN131088 OWR131088 OMV131088 OCZ131088 NTD131088 NJH131088 MZL131088 MPP131088 MFT131088 LVX131088 LMB131088 LCF131088 KSJ131088 KIN131088 JYR131088 JOV131088 JEZ131088 IVD131088 ILH131088 IBL131088 HRP131088 HHT131088 GXX131088 GOB131088 GEF131088 FUJ131088 FKN131088 FAR131088 EQV131088 EGZ131088 DXD131088 DNH131088 DDL131088 CTP131088 CJT131088 BZX131088 BQB131088 BGF131088 AWJ131088 AMN131088 ACR131088 SV131088 IZ131088 D131088 WVL65552 WLP65552 WBT65552 VRX65552 VIB65552 UYF65552 UOJ65552 UEN65552 TUR65552 TKV65552 TAZ65552 SRD65552 SHH65552 RXL65552 RNP65552 RDT65552 QTX65552 QKB65552 QAF65552 PQJ65552 PGN65552 OWR65552 OMV65552 OCZ65552 NTD65552 NJH65552 MZL65552 MPP65552 MFT65552 LVX65552 LMB65552 LCF65552 KSJ65552 KIN65552 JYR65552 JOV65552 JEZ65552 IVD65552 ILH65552 IBL65552 HRP65552 HHT65552 GXX65552 GOB65552 GEF65552 FUJ65552 FKN65552 FAR65552 EQV65552 EGZ65552 DXD65552 DNH65552 DDL65552 CTP65552 CJT65552 BZX65552 BQB65552 BGF65552 AWJ65552 AMN65552 ACR65552 SV65552 IZ65552 D65552 WVL30:WVL32 WLP30:WLP32 WBT30:WBT32 VRX30:VRX32 VIB30:VIB32 UYF30:UYF32 UOJ30:UOJ32 UEN30:UEN32 TUR30:TUR32 TKV30:TKV32 TAZ30:TAZ32 SRD30:SRD32 SHH30:SHH32 RXL30:RXL32 RNP30:RNP32 RDT30:RDT32 QTX30:QTX32 QKB30:QKB32 QAF30:QAF32 PQJ30:PQJ32 PGN30:PGN32 OWR30:OWR32 OMV30:OMV32 OCZ30:OCZ32 NTD30:NTD32 NJH30:NJH32 MZL30:MZL32 MPP30:MPP32 MFT30:MFT32 LVX30:LVX32 LMB30:LMB32 LCF30:LCF32 KSJ30:KSJ32 KIN30:KIN32 JYR30:JYR32 JOV30:JOV32 JEZ30:JEZ32 IVD30:IVD32 ILH30:ILH32 IBL30:IBL32 HRP30:HRP32 HHT30:HHT32 GXX30:GXX32 GOB30:GOB32 GEF30:GEF32 FUJ30:FUJ32 FKN30:FKN32 FAR30:FAR32 EQV30:EQV32 EGZ30:EGZ32 DXD30:DXD32 DNH30:DNH32 DDL30:DDL32 CTP30:CTP32 CJT30:CJT32 BZX30:BZX32 BQB30:BQB32 BGF30:BGF32 AWJ30:AWJ32 AMN30:AMN32 ACR30:ACR32 SV30:SV32 IZ30:IZ32 N30" xr:uid="{00000000-0002-0000-0600-000000000000}">
      <formula1>$F$17:$F$19</formula1>
    </dataValidation>
    <dataValidation type="list" allowBlank="1" showInputMessage="1" showErrorMessage="1" sqref="IY30:IY32 WVK983056 WLO983056 WBS983056 VRW983056 VIA983056 UYE983056 UOI983056 UEM983056 TUQ983056 TKU983056 TAY983056 SRC983056 SHG983056 RXK983056 RNO983056 RDS983056 QTW983056 QKA983056 QAE983056 PQI983056 PGM983056 OWQ983056 OMU983056 OCY983056 NTC983056 NJG983056 MZK983056 MPO983056 MFS983056 LVW983056 LMA983056 LCE983056 KSI983056 KIM983056 JYQ983056 JOU983056 JEY983056 IVC983056 ILG983056 IBK983056 HRO983056 HHS983056 GXW983056 GOA983056 GEE983056 FUI983056 FKM983056 FAQ983056 EQU983056 EGY983056 DXC983056 DNG983056 DDK983056 CTO983056 CJS983056 BZW983056 BQA983056 BGE983056 AWI983056 AMM983056 ACQ983056 SU983056 IY983056 C983056 WVK917520 WLO917520 WBS917520 VRW917520 VIA917520 UYE917520 UOI917520 UEM917520 TUQ917520 TKU917520 TAY917520 SRC917520 SHG917520 RXK917520 RNO917520 RDS917520 QTW917520 QKA917520 QAE917520 PQI917520 PGM917520 OWQ917520 OMU917520 OCY917520 NTC917520 NJG917520 MZK917520 MPO917520 MFS917520 LVW917520 LMA917520 LCE917520 KSI917520 KIM917520 JYQ917520 JOU917520 JEY917520 IVC917520 ILG917520 IBK917520 HRO917520 HHS917520 GXW917520 GOA917520 GEE917520 FUI917520 FKM917520 FAQ917520 EQU917520 EGY917520 DXC917520 DNG917520 DDK917520 CTO917520 CJS917520 BZW917520 BQA917520 BGE917520 AWI917520 AMM917520 ACQ917520 SU917520 IY917520 C917520 WVK851984 WLO851984 WBS851984 VRW851984 VIA851984 UYE851984 UOI851984 UEM851984 TUQ851984 TKU851984 TAY851984 SRC851984 SHG851984 RXK851984 RNO851984 RDS851984 QTW851984 QKA851984 QAE851984 PQI851984 PGM851984 OWQ851984 OMU851984 OCY851984 NTC851984 NJG851984 MZK851984 MPO851984 MFS851984 LVW851984 LMA851984 LCE851984 KSI851984 KIM851984 JYQ851984 JOU851984 JEY851984 IVC851984 ILG851984 IBK851984 HRO851984 HHS851984 GXW851984 GOA851984 GEE851984 FUI851984 FKM851984 FAQ851984 EQU851984 EGY851984 DXC851984 DNG851984 DDK851984 CTO851984 CJS851984 BZW851984 BQA851984 BGE851984 AWI851984 AMM851984 ACQ851984 SU851984 IY851984 C851984 WVK786448 WLO786448 WBS786448 VRW786448 VIA786448 UYE786448 UOI786448 UEM786448 TUQ786448 TKU786448 TAY786448 SRC786448 SHG786448 RXK786448 RNO786448 RDS786448 QTW786448 QKA786448 QAE786448 PQI786448 PGM786448 OWQ786448 OMU786448 OCY786448 NTC786448 NJG786448 MZK786448 MPO786448 MFS786448 LVW786448 LMA786448 LCE786448 KSI786448 KIM786448 JYQ786448 JOU786448 JEY786448 IVC786448 ILG786448 IBK786448 HRO786448 HHS786448 GXW786448 GOA786448 GEE786448 FUI786448 FKM786448 FAQ786448 EQU786448 EGY786448 DXC786448 DNG786448 DDK786448 CTO786448 CJS786448 BZW786448 BQA786448 BGE786448 AWI786448 AMM786448 ACQ786448 SU786448 IY786448 C786448 WVK720912 WLO720912 WBS720912 VRW720912 VIA720912 UYE720912 UOI720912 UEM720912 TUQ720912 TKU720912 TAY720912 SRC720912 SHG720912 RXK720912 RNO720912 RDS720912 QTW720912 QKA720912 QAE720912 PQI720912 PGM720912 OWQ720912 OMU720912 OCY720912 NTC720912 NJG720912 MZK720912 MPO720912 MFS720912 LVW720912 LMA720912 LCE720912 KSI720912 KIM720912 JYQ720912 JOU720912 JEY720912 IVC720912 ILG720912 IBK720912 HRO720912 HHS720912 GXW720912 GOA720912 GEE720912 FUI720912 FKM720912 FAQ720912 EQU720912 EGY720912 DXC720912 DNG720912 DDK720912 CTO720912 CJS720912 BZW720912 BQA720912 BGE720912 AWI720912 AMM720912 ACQ720912 SU720912 IY720912 C720912 WVK655376 WLO655376 WBS655376 VRW655376 VIA655376 UYE655376 UOI655376 UEM655376 TUQ655376 TKU655376 TAY655376 SRC655376 SHG655376 RXK655376 RNO655376 RDS655376 QTW655376 QKA655376 QAE655376 PQI655376 PGM655376 OWQ655376 OMU655376 OCY655376 NTC655376 NJG655376 MZK655376 MPO655376 MFS655376 LVW655376 LMA655376 LCE655376 KSI655376 KIM655376 JYQ655376 JOU655376 JEY655376 IVC655376 ILG655376 IBK655376 HRO655376 HHS655376 GXW655376 GOA655376 GEE655376 FUI655376 FKM655376 FAQ655376 EQU655376 EGY655376 DXC655376 DNG655376 DDK655376 CTO655376 CJS655376 BZW655376 BQA655376 BGE655376 AWI655376 AMM655376 ACQ655376 SU655376 IY655376 C655376 WVK589840 WLO589840 WBS589840 VRW589840 VIA589840 UYE589840 UOI589840 UEM589840 TUQ589840 TKU589840 TAY589840 SRC589840 SHG589840 RXK589840 RNO589840 RDS589840 QTW589840 QKA589840 QAE589840 PQI589840 PGM589840 OWQ589840 OMU589840 OCY589840 NTC589840 NJG589840 MZK589840 MPO589840 MFS589840 LVW589840 LMA589840 LCE589840 KSI589840 KIM589840 JYQ589840 JOU589840 JEY589840 IVC589840 ILG589840 IBK589840 HRO589840 HHS589840 GXW589840 GOA589840 GEE589840 FUI589840 FKM589840 FAQ589840 EQU589840 EGY589840 DXC589840 DNG589840 DDK589840 CTO589840 CJS589840 BZW589840 BQA589840 BGE589840 AWI589840 AMM589840 ACQ589840 SU589840 IY589840 C589840 WVK524304 WLO524304 WBS524304 VRW524304 VIA524304 UYE524304 UOI524304 UEM524304 TUQ524304 TKU524304 TAY524304 SRC524304 SHG524304 RXK524304 RNO524304 RDS524304 QTW524304 QKA524304 QAE524304 PQI524304 PGM524304 OWQ524304 OMU524304 OCY524304 NTC524304 NJG524304 MZK524304 MPO524304 MFS524304 LVW524304 LMA524304 LCE524304 KSI524304 KIM524304 JYQ524304 JOU524304 JEY524304 IVC524304 ILG524304 IBK524304 HRO524304 HHS524304 GXW524304 GOA524304 GEE524304 FUI524304 FKM524304 FAQ524304 EQU524304 EGY524304 DXC524304 DNG524304 DDK524304 CTO524304 CJS524304 BZW524304 BQA524304 BGE524304 AWI524304 AMM524304 ACQ524304 SU524304 IY524304 C524304 WVK458768 WLO458768 WBS458768 VRW458768 VIA458768 UYE458768 UOI458768 UEM458768 TUQ458768 TKU458768 TAY458768 SRC458768 SHG458768 RXK458768 RNO458768 RDS458768 QTW458768 QKA458768 QAE458768 PQI458768 PGM458768 OWQ458768 OMU458768 OCY458768 NTC458768 NJG458768 MZK458768 MPO458768 MFS458768 LVW458768 LMA458768 LCE458768 KSI458768 KIM458768 JYQ458768 JOU458768 JEY458768 IVC458768 ILG458768 IBK458768 HRO458768 HHS458768 GXW458768 GOA458768 GEE458768 FUI458768 FKM458768 FAQ458768 EQU458768 EGY458768 DXC458768 DNG458768 DDK458768 CTO458768 CJS458768 BZW458768 BQA458768 BGE458768 AWI458768 AMM458768 ACQ458768 SU458768 IY458768 C458768 WVK393232 WLO393232 WBS393232 VRW393232 VIA393232 UYE393232 UOI393232 UEM393232 TUQ393232 TKU393232 TAY393232 SRC393232 SHG393232 RXK393232 RNO393232 RDS393232 QTW393232 QKA393232 QAE393232 PQI393232 PGM393232 OWQ393232 OMU393232 OCY393232 NTC393232 NJG393232 MZK393232 MPO393232 MFS393232 LVW393232 LMA393232 LCE393232 KSI393232 KIM393232 JYQ393232 JOU393232 JEY393232 IVC393232 ILG393232 IBK393232 HRO393232 HHS393232 GXW393232 GOA393232 GEE393232 FUI393232 FKM393232 FAQ393232 EQU393232 EGY393232 DXC393232 DNG393232 DDK393232 CTO393232 CJS393232 BZW393232 BQA393232 BGE393232 AWI393232 AMM393232 ACQ393232 SU393232 IY393232 C393232 WVK327696 WLO327696 WBS327696 VRW327696 VIA327696 UYE327696 UOI327696 UEM327696 TUQ327696 TKU327696 TAY327696 SRC327696 SHG327696 RXK327696 RNO327696 RDS327696 QTW327696 QKA327696 QAE327696 PQI327696 PGM327696 OWQ327696 OMU327696 OCY327696 NTC327696 NJG327696 MZK327696 MPO327696 MFS327696 LVW327696 LMA327696 LCE327696 KSI327696 KIM327696 JYQ327696 JOU327696 JEY327696 IVC327696 ILG327696 IBK327696 HRO327696 HHS327696 GXW327696 GOA327696 GEE327696 FUI327696 FKM327696 FAQ327696 EQU327696 EGY327696 DXC327696 DNG327696 DDK327696 CTO327696 CJS327696 BZW327696 BQA327696 BGE327696 AWI327696 AMM327696 ACQ327696 SU327696 IY327696 C327696 WVK262160 WLO262160 WBS262160 VRW262160 VIA262160 UYE262160 UOI262160 UEM262160 TUQ262160 TKU262160 TAY262160 SRC262160 SHG262160 RXK262160 RNO262160 RDS262160 QTW262160 QKA262160 QAE262160 PQI262160 PGM262160 OWQ262160 OMU262160 OCY262160 NTC262160 NJG262160 MZK262160 MPO262160 MFS262160 LVW262160 LMA262160 LCE262160 KSI262160 KIM262160 JYQ262160 JOU262160 JEY262160 IVC262160 ILG262160 IBK262160 HRO262160 HHS262160 GXW262160 GOA262160 GEE262160 FUI262160 FKM262160 FAQ262160 EQU262160 EGY262160 DXC262160 DNG262160 DDK262160 CTO262160 CJS262160 BZW262160 BQA262160 BGE262160 AWI262160 AMM262160 ACQ262160 SU262160 IY262160 C262160 WVK196624 WLO196624 WBS196624 VRW196624 VIA196624 UYE196624 UOI196624 UEM196624 TUQ196624 TKU196624 TAY196624 SRC196624 SHG196624 RXK196624 RNO196624 RDS196624 QTW196624 QKA196624 QAE196624 PQI196624 PGM196624 OWQ196624 OMU196624 OCY196624 NTC196624 NJG196624 MZK196624 MPO196624 MFS196624 LVW196624 LMA196624 LCE196624 KSI196624 KIM196624 JYQ196624 JOU196624 JEY196624 IVC196624 ILG196624 IBK196624 HRO196624 HHS196624 GXW196624 GOA196624 GEE196624 FUI196624 FKM196624 FAQ196624 EQU196624 EGY196624 DXC196624 DNG196624 DDK196624 CTO196624 CJS196624 BZW196624 BQA196624 BGE196624 AWI196624 AMM196624 ACQ196624 SU196624 IY196624 C196624 WVK131088 WLO131088 WBS131088 VRW131088 VIA131088 UYE131088 UOI131088 UEM131088 TUQ131088 TKU131088 TAY131088 SRC131088 SHG131088 RXK131088 RNO131088 RDS131088 QTW131088 QKA131088 QAE131088 PQI131088 PGM131088 OWQ131088 OMU131088 OCY131088 NTC131088 NJG131088 MZK131088 MPO131088 MFS131088 LVW131088 LMA131088 LCE131088 KSI131088 KIM131088 JYQ131088 JOU131088 JEY131088 IVC131088 ILG131088 IBK131088 HRO131088 HHS131088 GXW131088 GOA131088 GEE131088 FUI131088 FKM131088 FAQ131088 EQU131088 EGY131088 DXC131088 DNG131088 DDK131088 CTO131088 CJS131088 BZW131088 BQA131088 BGE131088 AWI131088 AMM131088 ACQ131088 SU131088 IY131088 C131088 WVK65552 WLO65552 WBS65552 VRW65552 VIA65552 UYE65552 UOI65552 UEM65552 TUQ65552 TKU65552 TAY65552 SRC65552 SHG65552 RXK65552 RNO65552 RDS65552 QTW65552 QKA65552 QAE65552 PQI65552 PGM65552 OWQ65552 OMU65552 OCY65552 NTC65552 NJG65552 MZK65552 MPO65552 MFS65552 LVW65552 LMA65552 LCE65552 KSI65552 KIM65552 JYQ65552 JOU65552 JEY65552 IVC65552 ILG65552 IBK65552 HRO65552 HHS65552 GXW65552 GOA65552 GEE65552 FUI65552 FKM65552 FAQ65552 EQU65552 EGY65552 DXC65552 DNG65552 DDK65552 CTO65552 CJS65552 BZW65552 BQA65552 BGE65552 AWI65552 AMM65552 ACQ65552 SU65552 IY65552 C65552 WVK30:WVK32 WLO30:WLO32 WBS30:WBS32 VRW30:VRW32 VIA30:VIA32 UYE30:UYE32 UOI30:UOI32 UEM30:UEM32 TUQ30:TUQ32 TKU30:TKU32 TAY30:TAY32 SRC30:SRC32 SHG30:SHG32 RXK30:RXK32 RNO30:RNO32 RDS30:RDS32 QTW30:QTW32 QKA30:QKA32 QAE30:QAE32 PQI30:PQI32 PGM30:PGM32 OWQ30:OWQ32 OMU30:OMU32 OCY30:OCY32 NTC30:NTC32 NJG30:NJG32 MZK30:MZK32 MPO30:MPO32 MFS30:MFS32 LVW30:LVW32 LMA30:LMA32 LCE30:LCE32 KSI30:KSI32 KIM30:KIM32 JYQ30:JYQ32 JOU30:JOU32 JEY30:JEY32 IVC30:IVC32 ILG30:ILG32 IBK30:IBK32 HRO30:HRO32 HHS30:HHS32 GXW30:GXW32 GOA30:GOA32 GEE30:GEE32 FUI30:FUI32 FKM30:FKM32 FAQ30:FAQ32 EQU30:EQU32 EGY30:EGY32 DXC30:DXC32 DNG30:DNG32 DDK30:DDK32 CTO30:CTO32 CJS30:CJS32 BZW30:BZW32 BQA30:BQA32 BGE30:BGE32 AWI30:AWI32 AMM30:AMM32 ACQ30:ACQ32 SU30:SU32" xr:uid="{00000000-0002-0000-0600-000001000000}">
      <formula1>$D$17:$D$20</formula1>
    </dataValidation>
    <dataValidation type="list" allowBlank="1" showInputMessage="1" showErrorMessage="1" sqref="WVJ983056 B30:B31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B98305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B91752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B85198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B78644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B72091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B65537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B58984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B52430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B45876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B39323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B32769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B26216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B19662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B13108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B65552 WVJ30:WVJ32 WLN30:WLN32 WBR30:WBR32 VRV30:VRV32 VHZ30:VHZ32 UYD30:UYD32 UOH30:UOH32 UEL30:UEL32 TUP30:TUP32 TKT30:TKT32 TAX30:TAX32 SRB30:SRB32 SHF30:SHF32 RXJ30:RXJ32 RNN30:RNN32 RDR30:RDR32 QTV30:QTV32 QJZ30:QJZ32 QAD30:QAD32 PQH30:PQH32 PGL30:PGL32 OWP30:OWP32 OMT30:OMT32 OCX30:OCX32 NTB30:NTB32 NJF30:NJF32 MZJ30:MZJ32 MPN30:MPN32 MFR30:MFR32 LVV30:LVV32 LLZ30:LLZ32 LCD30:LCD32 KSH30:KSH32 KIL30:KIL32 JYP30:JYP32 JOT30:JOT32 JEX30:JEX32 IVB30:IVB32 ILF30:ILF32 IBJ30:IBJ32 HRN30:HRN32 HHR30:HHR32 GXV30:GXV32 GNZ30:GNZ32 GED30:GED32 FUH30:FUH32 FKL30:FKL32 FAP30:FAP32 EQT30:EQT32 EGX30:EGX32 DXB30:DXB32 DNF30:DNF32 DDJ30:DDJ32 CTN30:CTN32 CJR30:CJR32 BZV30:BZV32 BPZ30:BPZ32 BGD30:BGD32 AWH30:AWH32 AML30:AML32 ACP30:ACP32 ST30:ST32 IX30:IX32 L30" xr:uid="{00000000-0002-0000-0600-000002000000}">
      <formula1>$B$17:$B$21</formula1>
    </dataValidation>
    <dataValidation type="list" allowBlank="1" showInputMessage="1" showErrorMessage="1" sqref="M65552:M65554 JI65552:JI65554 TE65552:TE65554 ADA65552:ADA65554 AMW65552:AMW65554 AWS65552:AWS65554 BGO65552:BGO65554 BQK65552:BQK65554 CAG65552:CAG65554 CKC65552:CKC65554 CTY65552:CTY65554 DDU65552:DDU65554 DNQ65552:DNQ65554 DXM65552:DXM65554 EHI65552:EHI65554 ERE65552:ERE65554 FBA65552:FBA65554 FKW65552:FKW65554 FUS65552:FUS65554 GEO65552:GEO65554 GOK65552:GOK65554 GYG65552:GYG65554 HIC65552:HIC65554 HRY65552:HRY65554 IBU65552:IBU65554 ILQ65552:ILQ65554 IVM65552:IVM65554 JFI65552:JFI65554 JPE65552:JPE65554 JZA65552:JZA65554 KIW65552:KIW65554 KSS65552:KSS65554 LCO65552:LCO65554 LMK65552:LMK65554 LWG65552:LWG65554 MGC65552:MGC65554 MPY65552:MPY65554 MZU65552:MZU65554 NJQ65552:NJQ65554 NTM65552:NTM65554 ODI65552:ODI65554 ONE65552:ONE65554 OXA65552:OXA65554 PGW65552:PGW65554 PQS65552:PQS65554 QAO65552:QAO65554 QKK65552:QKK65554 QUG65552:QUG65554 REC65552:REC65554 RNY65552:RNY65554 RXU65552:RXU65554 SHQ65552:SHQ65554 SRM65552:SRM65554 TBI65552:TBI65554 TLE65552:TLE65554 TVA65552:TVA65554 UEW65552:UEW65554 UOS65552:UOS65554 UYO65552:UYO65554 VIK65552:VIK65554 VSG65552:VSG65554 WCC65552:WCC65554 WLY65552:WLY65554 WVU65552:WVU65554 M131088:M131090 JI131088:JI131090 TE131088:TE131090 ADA131088:ADA131090 AMW131088:AMW131090 AWS131088:AWS131090 BGO131088:BGO131090 BQK131088:BQK131090 CAG131088:CAG131090 CKC131088:CKC131090 CTY131088:CTY131090 DDU131088:DDU131090 DNQ131088:DNQ131090 DXM131088:DXM131090 EHI131088:EHI131090 ERE131088:ERE131090 FBA131088:FBA131090 FKW131088:FKW131090 FUS131088:FUS131090 GEO131088:GEO131090 GOK131088:GOK131090 GYG131088:GYG131090 HIC131088:HIC131090 HRY131088:HRY131090 IBU131088:IBU131090 ILQ131088:ILQ131090 IVM131088:IVM131090 JFI131088:JFI131090 JPE131088:JPE131090 JZA131088:JZA131090 KIW131088:KIW131090 KSS131088:KSS131090 LCO131088:LCO131090 LMK131088:LMK131090 LWG131088:LWG131090 MGC131088:MGC131090 MPY131088:MPY131090 MZU131088:MZU131090 NJQ131088:NJQ131090 NTM131088:NTM131090 ODI131088:ODI131090 ONE131088:ONE131090 OXA131088:OXA131090 PGW131088:PGW131090 PQS131088:PQS131090 QAO131088:QAO131090 QKK131088:QKK131090 QUG131088:QUG131090 REC131088:REC131090 RNY131088:RNY131090 RXU131088:RXU131090 SHQ131088:SHQ131090 SRM131088:SRM131090 TBI131088:TBI131090 TLE131088:TLE131090 TVA131088:TVA131090 UEW131088:UEW131090 UOS131088:UOS131090 UYO131088:UYO131090 VIK131088:VIK131090 VSG131088:VSG131090 WCC131088:WCC131090 WLY131088:WLY131090 WVU131088:WVU131090 M196624:M196626 JI196624:JI196626 TE196624:TE196626 ADA196624:ADA196626 AMW196624:AMW196626 AWS196624:AWS196626 BGO196624:BGO196626 BQK196624:BQK196626 CAG196624:CAG196626 CKC196624:CKC196626 CTY196624:CTY196626 DDU196624:DDU196626 DNQ196624:DNQ196626 DXM196624:DXM196626 EHI196624:EHI196626 ERE196624:ERE196626 FBA196624:FBA196626 FKW196624:FKW196626 FUS196624:FUS196626 GEO196624:GEO196626 GOK196624:GOK196626 GYG196624:GYG196626 HIC196624:HIC196626 HRY196624:HRY196626 IBU196624:IBU196626 ILQ196624:ILQ196626 IVM196624:IVM196626 JFI196624:JFI196626 JPE196624:JPE196626 JZA196624:JZA196626 KIW196624:KIW196626 KSS196624:KSS196626 LCO196624:LCO196626 LMK196624:LMK196626 LWG196624:LWG196626 MGC196624:MGC196626 MPY196624:MPY196626 MZU196624:MZU196626 NJQ196624:NJQ196626 NTM196624:NTM196626 ODI196624:ODI196626 ONE196624:ONE196626 OXA196624:OXA196626 PGW196624:PGW196626 PQS196624:PQS196626 QAO196624:QAO196626 QKK196624:QKK196626 QUG196624:QUG196626 REC196624:REC196626 RNY196624:RNY196626 RXU196624:RXU196626 SHQ196624:SHQ196626 SRM196624:SRM196626 TBI196624:TBI196626 TLE196624:TLE196626 TVA196624:TVA196626 UEW196624:UEW196626 UOS196624:UOS196626 UYO196624:UYO196626 VIK196624:VIK196626 VSG196624:VSG196626 WCC196624:WCC196626 WLY196624:WLY196626 WVU196624:WVU196626 M262160:M262162 JI262160:JI262162 TE262160:TE262162 ADA262160:ADA262162 AMW262160:AMW262162 AWS262160:AWS262162 BGO262160:BGO262162 BQK262160:BQK262162 CAG262160:CAG262162 CKC262160:CKC262162 CTY262160:CTY262162 DDU262160:DDU262162 DNQ262160:DNQ262162 DXM262160:DXM262162 EHI262160:EHI262162 ERE262160:ERE262162 FBA262160:FBA262162 FKW262160:FKW262162 FUS262160:FUS262162 GEO262160:GEO262162 GOK262160:GOK262162 GYG262160:GYG262162 HIC262160:HIC262162 HRY262160:HRY262162 IBU262160:IBU262162 ILQ262160:ILQ262162 IVM262160:IVM262162 JFI262160:JFI262162 JPE262160:JPE262162 JZA262160:JZA262162 KIW262160:KIW262162 KSS262160:KSS262162 LCO262160:LCO262162 LMK262160:LMK262162 LWG262160:LWG262162 MGC262160:MGC262162 MPY262160:MPY262162 MZU262160:MZU262162 NJQ262160:NJQ262162 NTM262160:NTM262162 ODI262160:ODI262162 ONE262160:ONE262162 OXA262160:OXA262162 PGW262160:PGW262162 PQS262160:PQS262162 QAO262160:QAO262162 QKK262160:QKK262162 QUG262160:QUG262162 REC262160:REC262162 RNY262160:RNY262162 RXU262160:RXU262162 SHQ262160:SHQ262162 SRM262160:SRM262162 TBI262160:TBI262162 TLE262160:TLE262162 TVA262160:TVA262162 UEW262160:UEW262162 UOS262160:UOS262162 UYO262160:UYO262162 VIK262160:VIK262162 VSG262160:VSG262162 WCC262160:WCC262162 WLY262160:WLY262162 WVU262160:WVU262162 M327696:M327698 JI327696:JI327698 TE327696:TE327698 ADA327696:ADA327698 AMW327696:AMW327698 AWS327696:AWS327698 BGO327696:BGO327698 BQK327696:BQK327698 CAG327696:CAG327698 CKC327696:CKC327698 CTY327696:CTY327698 DDU327696:DDU327698 DNQ327696:DNQ327698 DXM327696:DXM327698 EHI327696:EHI327698 ERE327696:ERE327698 FBA327696:FBA327698 FKW327696:FKW327698 FUS327696:FUS327698 GEO327696:GEO327698 GOK327696:GOK327698 GYG327696:GYG327698 HIC327696:HIC327698 HRY327696:HRY327698 IBU327696:IBU327698 ILQ327696:ILQ327698 IVM327696:IVM327698 JFI327696:JFI327698 JPE327696:JPE327698 JZA327696:JZA327698 KIW327696:KIW327698 KSS327696:KSS327698 LCO327696:LCO327698 LMK327696:LMK327698 LWG327696:LWG327698 MGC327696:MGC327698 MPY327696:MPY327698 MZU327696:MZU327698 NJQ327696:NJQ327698 NTM327696:NTM327698 ODI327696:ODI327698 ONE327696:ONE327698 OXA327696:OXA327698 PGW327696:PGW327698 PQS327696:PQS327698 QAO327696:QAO327698 QKK327696:QKK327698 QUG327696:QUG327698 REC327696:REC327698 RNY327696:RNY327698 RXU327696:RXU327698 SHQ327696:SHQ327698 SRM327696:SRM327698 TBI327696:TBI327698 TLE327696:TLE327698 TVA327696:TVA327698 UEW327696:UEW327698 UOS327696:UOS327698 UYO327696:UYO327698 VIK327696:VIK327698 VSG327696:VSG327698 WCC327696:WCC327698 WLY327696:WLY327698 WVU327696:WVU327698 M393232:M393234 JI393232:JI393234 TE393232:TE393234 ADA393232:ADA393234 AMW393232:AMW393234 AWS393232:AWS393234 BGO393232:BGO393234 BQK393232:BQK393234 CAG393232:CAG393234 CKC393232:CKC393234 CTY393232:CTY393234 DDU393232:DDU393234 DNQ393232:DNQ393234 DXM393232:DXM393234 EHI393232:EHI393234 ERE393232:ERE393234 FBA393232:FBA393234 FKW393232:FKW393234 FUS393232:FUS393234 GEO393232:GEO393234 GOK393232:GOK393234 GYG393232:GYG393234 HIC393232:HIC393234 HRY393232:HRY393234 IBU393232:IBU393234 ILQ393232:ILQ393234 IVM393232:IVM393234 JFI393232:JFI393234 JPE393232:JPE393234 JZA393232:JZA393234 KIW393232:KIW393234 KSS393232:KSS393234 LCO393232:LCO393234 LMK393232:LMK393234 LWG393232:LWG393234 MGC393232:MGC393234 MPY393232:MPY393234 MZU393232:MZU393234 NJQ393232:NJQ393234 NTM393232:NTM393234 ODI393232:ODI393234 ONE393232:ONE393234 OXA393232:OXA393234 PGW393232:PGW393234 PQS393232:PQS393234 QAO393232:QAO393234 QKK393232:QKK393234 QUG393232:QUG393234 REC393232:REC393234 RNY393232:RNY393234 RXU393232:RXU393234 SHQ393232:SHQ393234 SRM393232:SRM393234 TBI393232:TBI393234 TLE393232:TLE393234 TVA393232:TVA393234 UEW393232:UEW393234 UOS393232:UOS393234 UYO393232:UYO393234 VIK393232:VIK393234 VSG393232:VSG393234 WCC393232:WCC393234 WLY393232:WLY393234 WVU393232:WVU393234 M458768:M458770 JI458768:JI458770 TE458768:TE458770 ADA458768:ADA458770 AMW458768:AMW458770 AWS458768:AWS458770 BGO458768:BGO458770 BQK458768:BQK458770 CAG458768:CAG458770 CKC458768:CKC458770 CTY458768:CTY458770 DDU458768:DDU458770 DNQ458768:DNQ458770 DXM458768:DXM458770 EHI458768:EHI458770 ERE458768:ERE458770 FBA458768:FBA458770 FKW458768:FKW458770 FUS458768:FUS458770 GEO458768:GEO458770 GOK458768:GOK458770 GYG458768:GYG458770 HIC458768:HIC458770 HRY458768:HRY458770 IBU458768:IBU458770 ILQ458768:ILQ458770 IVM458768:IVM458770 JFI458768:JFI458770 JPE458768:JPE458770 JZA458768:JZA458770 KIW458768:KIW458770 KSS458768:KSS458770 LCO458768:LCO458770 LMK458768:LMK458770 LWG458768:LWG458770 MGC458768:MGC458770 MPY458768:MPY458770 MZU458768:MZU458770 NJQ458768:NJQ458770 NTM458768:NTM458770 ODI458768:ODI458770 ONE458768:ONE458770 OXA458768:OXA458770 PGW458768:PGW458770 PQS458768:PQS458770 QAO458768:QAO458770 QKK458768:QKK458770 QUG458768:QUG458770 REC458768:REC458770 RNY458768:RNY458770 RXU458768:RXU458770 SHQ458768:SHQ458770 SRM458768:SRM458770 TBI458768:TBI458770 TLE458768:TLE458770 TVA458768:TVA458770 UEW458768:UEW458770 UOS458768:UOS458770 UYO458768:UYO458770 VIK458768:VIK458770 VSG458768:VSG458770 WCC458768:WCC458770 WLY458768:WLY458770 WVU458768:WVU458770 M524304:M524306 JI524304:JI524306 TE524304:TE524306 ADA524304:ADA524306 AMW524304:AMW524306 AWS524304:AWS524306 BGO524304:BGO524306 BQK524304:BQK524306 CAG524304:CAG524306 CKC524304:CKC524306 CTY524304:CTY524306 DDU524304:DDU524306 DNQ524304:DNQ524306 DXM524304:DXM524306 EHI524304:EHI524306 ERE524304:ERE524306 FBA524304:FBA524306 FKW524304:FKW524306 FUS524304:FUS524306 GEO524304:GEO524306 GOK524304:GOK524306 GYG524304:GYG524306 HIC524304:HIC524306 HRY524304:HRY524306 IBU524304:IBU524306 ILQ524304:ILQ524306 IVM524304:IVM524306 JFI524304:JFI524306 JPE524304:JPE524306 JZA524304:JZA524306 KIW524304:KIW524306 KSS524304:KSS524306 LCO524304:LCO524306 LMK524304:LMK524306 LWG524304:LWG524306 MGC524304:MGC524306 MPY524304:MPY524306 MZU524304:MZU524306 NJQ524304:NJQ524306 NTM524304:NTM524306 ODI524304:ODI524306 ONE524304:ONE524306 OXA524304:OXA524306 PGW524304:PGW524306 PQS524304:PQS524306 QAO524304:QAO524306 QKK524304:QKK524306 QUG524304:QUG524306 REC524304:REC524306 RNY524304:RNY524306 RXU524304:RXU524306 SHQ524304:SHQ524306 SRM524304:SRM524306 TBI524304:TBI524306 TLE524304:TLE524306 TVA524304:TVA524306 UEW524304:UEW524306 UOS524304:UOS524306 UYO524304:UYO524306 VIK524304:VIK524306 VSG524304:VSG524306 WCC524304:WCC524306 WLY524304:WLY524306 WVU524304:WVU524306 M589840:M589842 JI589840:JI589842 TE589840:TE589842 ADA589840:ADA589842 AMW589840:AMW589842 AWS589840:AWS589842 BGO589840:BGO589842 BQK589840:BQK589842 CAG589840:CAG589842 CKC589840:CKC589842 CTY589840:CTY589842 DDU589840:DDU589842 DNQ589840:DNQ589842 DXM589840:DXM589842 EHI589840:EHI589842 ERE589840:ERE589842 FBA589840:FBA589842 FKW589840:FKW589842 FUS589840:FUS589842 GEO589840:GEO589842 GOK589840:GOK589842 GYG589840:GYG589842 HIC589840:HIC589842 HRY589840:HRY589842 IBU589840:IBU589842 ILQ589840:ILQ589842 IVM589840:IVM589842 JFI589840:JFI589842 JPE589840:JPE589842 JZA589840:JZA589842 KIW589840:KIW589842 KSS589840:KSS589842 LCO589840:LCO589842 LMK589840:LMK589842 LWG589840:LWG589842 MGC589840:MGC589842 MPY589840:MPY589842 MZU589840:MZU589842 NJQ589840:NJQ589842 NTM589840:NTM589842 ODI589840:ODI589842 ONE589840:ONE589842 OXA589840:OXA589842 PGW589840:PGW589842 PQS589840:PQS589842 QAO589840:QAO589842 QKK589840:QKK589842 QUG589840:QUG589842 REC589840:REC589842 RNY589840:RNY589842 RXU589840:RXU589842 SHQ589840:SHQ589842 SRM589840:SRM589842 TBI589840:TBI589842 TLE589840:TLE589842 TVA589840:TVA589842 UEW589840:UEW589842 UOS589840:UOS589842 UYO589840:UYO589842 VIK589840:VIK589842 VSG589840:VSG589842 WCC589840:WCC589842 WLY589840:WLY589842 WVU589840:WVU589842 M655376:M655378 JI655376:JI655378 TE655376:TE655378 ADA655376:ADA655378 AMW655376:AMW655378 AWS655376:AWS655378 BGO655376:BGO655378 BQK655376:BQK655378 CAG655376:CAG655378 CKC655376:CKC655378 CTY655376:CTY655378 DDU655376:DDU655378 DNQ655376:DNQ655378 DXM655376:DXM655378 EHI655376:EHI655378 ERE655376:ERE655378 FBA655376:FBA655378 FKW655376:FKW655378 FUS655376:FUS655378 GEO655376:GEO655378 GOK655376:GOK655378 GYG655376:GYG655378 HIC655376:HIC655378 HRY655376:HRY655378 IBU655376:IBU655378 ILQ655376:ILQ655378 IVM655376:IVM655378 JFI655376:JFI655378 JPE655376:JPE655378 JZA655376:JZA655378 KIW655376:KIW655378 KSS655376:KSS655378 LCO655376:LCO655378 LMK655376:LMK655378 LWG655376:LWG655378 MGC655376:MGC655378 MPY655376:MPY655378 MZU655376:MZU655378 NJQ655376:NJQ655378 NTM655376:NTM655378 ODI655376:ODI655378 ONE655376:ONE655378 OXA655376:OXA655378 PGW655376:PGW655378 PQS655376:PQS655378 QAO655376:QAO655378 QKK655376:QKK655378 QUG655376:QUG655378 REC655376:REC655378 RNY655376:RNY655378 RXU655376:RXU655378 SHQ655376:SHQ655378 SRM655376:SRM655378 TBI655376:TBI655378 TLE655376:TLE655378 TVA655376:TVA655378 UEW655376:UEW655378 UOS655376:UOS655378 UYO655376:UYO655378 VIK655376:VIK655378 VSG655376:VSG655378 WCC655376:WCC655378 WLY655376:WLY655378 WVU655376:WVU655378 M720912:M720914 JI720912:JI720914 TE720912:TE720914 ADA720912:ADA720914 AMW720912:AMW720914 AWS720912:AWS720914 BGO720912:BGO720914 BQK720912:BQK720914 CAG720912:CAG720914 CKC720912:CKC720914 CTY720912:CTY720914 DDU720912:DDU720914 DNQ720912:DNQ720914 DXM720912:DXM720914 EHI720912:EHI720914 ERE720912:ERE720914 FBA720912:FBA720914 FKW720912:FKW720914 FUS720912:FUS720914 GEO720912:GEO720914 GOK720912:GOK720914 GYG720912:GYG720914 HIC720912:HIC720914 HRY720912:HRY720914 IBU720912:IBU720914 ILQ720912:ILQ720914 IVM720912:IVM720914 JFI720912:JFI720914 JPE720912:JPE720914 JZA720912:JZA720914 KIW720912:KIW720914 KSS720912:KSS720914 LCO720912:LCO720914 LMK720912:LMK720914 LWG720912:LWG720914 MGC720912:MGC720914 MPY720912:MPY720914 MZU720912:MZU720914 NJQ720912:NJQ720914 NTM720912:NTM720914 ODI720912:ODI720914 ONE720912:ONE720914 OXA720912:OXA720914 PGW720912:PGW720914 PQS720912:PQS720914 QAO720912:QAO720914 QKK720912:QKK720914 QUG720912:QUG720914 REC720912:REC720914 RNY720912:RNY720914 RXU720912:RXU720914 SHQ720912:SHQ720914 SRM720912:SRM720914 TBI720912:TBI720914 TLE720912:TLE720914 TVA720912:TVA720914 UEW720912:UEW720914 UOS720912:UOS720914 UYO720912:UYO720914 VIK720912:VIK720914 VSG720912:VSG720914 WCC720912:WCC720914 WLY720912:WLY720914 WVU720912:WVU720914 M786448:M786450 JI786448:JI786450 TE786448:TE786450 ADA786448:ADA786450 AMW786448:AMW786450 AWS786448:AWS786450 BGO786448:BGO786450 BQK786448:BQK786450 CAG786448:CAG786450 CKC786448:CKC786450 CTY786448:CTY786450 DDU786448:DDU786450 DNQ786448:DNQ786450 DXM786448:DXM786450 EHI786448:EHI786450 ERE786448:ERE786450 FBA786448:FBA786450 FKW786448:FKW786450 FUS786448:FUS786450 GEO786448:GEO786450 GOK786448:GOK786450 GYG786448:GYG786450 HIC786448:HIC786450 HRY786448:HRY786450 IBU786448:IBU786450 ILQ786448:ILQ786450 IVM786448:IVM786450 JFI786448:JFI786450 JPE786448:JPE786450 JZA786448:JZA786450 KIW786448:KIW786450 KSS786448:KSS786450 LCO786448:LCO786450 LMK786448:LMK786450 LWG786448:LWG786450 MGC786448:MGC786450 MPY786448:MPY786450 MZU786448:MZU786450 NJQ786448:NJQ786450 NTM786448:NTM786450 ODI786448:ODI786450 ONE786448:ONE786450 OXA786448:OXA786450 PGW786448:PGW786450 PQS786448:PQS786450 QAO786448:QAO786450 QKK786448:QKK786450 QUG786448:QUG786450 REC786448:REC786450 RNY786448:RNY786450 RXU786448:RXU786450 SHQ786448:SHQ786450 SRM786448:SRM786450 TBI786448:TBI786450 TLE786448:TLE786450 TVA786448:TVA786450 UEW786448:UEW786450 UOS786448:UOS786450 UYO786448:UYO786450 VIK786448:VIK786450 VSG786448:VSG786450 WCC786448:WCC786450 WLY786448:WLY786450 WVU786448:WVU786450 M851984:M851986 JI851984:JI851986 TE851984:TE851986 ADA851984:ADA851986 AMW851984:AMW851986 AWS851984:AWS851986 BGO851984:BGO851986 BQK851984:BQK851986 CAG851984:CAG851986 CKC851984:CKC851986 CTY851984:CTY851986 DDU851984:DDU851986 DNQ851984:DNQ851986 DXM851984:DXM851986 EHI851984:EHI851986 ERE851984:ERE851986 FBA851984:FBA851986 FKW851984:FKW851986 FUS851984:FUS851986 GEO851984:GEO851986 GOK851984:GOK851986 GYG851984:GYG851986 HIC851984:HIC851986 HRY851984:HRY851986 IBU851984:IBU851986 ILQ851984:ILQ851986 IVM851984:IVM851986 JFI851984:JFI851986 JPE851984:JPE851986 JZA851984:JZA851986 KIW851984:KIW851986 KSS851984:KSS851986 LCO851984:LCO851986 LMK851984:LMK851986 LWG851984:LWG851986 MGC851984:MGC851986 MPY851984:MPY851986 MZU851984:MZU851986 NJQ851984:NJQ851986 NTM851984:NTM851986 ODI851984:ODI851986 ONE851984:ONE851986 OXA851984:OXA851986 PGW851984:PGW851986 PQS851984:PQS851986 QAO851984:QAO851986 QKK851984:QKK851986 QUG851984:QUG851986 REC851984:REC851986 RNY851984:RNY851986 RXU851984:RXU851986 SHQ851984:SHQ851986 SRM851984:SRM851986 TBI851984:TBI851986 TLE851984:TLE851986 TVA851984:TVA851986 UEW851984:UEW851986 UOS851984:UOS851986 UYO851984:UYO851986 VIK851984:VIK851986 VSG851984:VSG851986 WCC851984:WCC851986 WLY851984:WLY851986 WVU851984:WVU851986 M917520:M917522 JI917520:JI917522 TE917520:TE917522 ADA917520:ADA917522 AMW917520:AMW917522 AWS917520:AWS917522 BGO917520:BGO917522 BQK917520:BQK917522 CAG917520:CAG917522 CKC917520:CKC917522 CTY917520:CTY917522 DDU917520:DDU917522 DNQ917520:DNQ917522 DXM917520:DXM917522 EHI917520:EHI917522 ERE917520:ERE917522 FBA917520:FBA917522 FKW917520:FKW917522 FUS917520:FUS917522 GEO917520:GEO917522 GOK917520:GOK917522 GYG917520:GYG917522 HIC917520:HIC917522 HRY917520:HRY917522 IBU917520:IBU917522 ILQ917520:ILQ917522 IVM917520:IVM917522 JFI917520:JFI917522 JPE917520:JPE917522 JZA917520:JZA917522 KIW917520:KIW917522 KSS917520:KSS917522 LCO917520:LCO917522 LMK917520:LMK917522 LWG917520:LWG917522 MGC917520:MGC917522 MPY917520:MPY917522 MZU917520:MZU917522 NJQ917520:NJQ917522 NTM917520:NTM917522 ODI917520:ODI917522 ONE917520:ONE917522 OXA917520:OXA917522 PGW917520:PGW917522 PQS917520:PQS917522 QAO917520:QAO917522 QKK917520:QKK917522 QUG917520:QUG917522 REC917520:REC917522 RNY917520:RNY917522 RXU917520:RXU917522 SHQ917520:SHQ917522 SRM917520:SRM917522 TBI917520:TBI917522 TLE917520:TLE917522 TVA917520:TVA917522 UEW917520:UEW917522 UOS917520:UOS917522 UYO917520:UYO917522 VIK917520:VIK917522 VSG917520:VSG917522 WCC917520:WCC917522 WLY917520:WLY917522 WVU917520:WVU917522 M983056:M983058 JI983056:JI983058 TE983056:TE983058 ADA983056:ADA983058 AMW983056:AMW983058 AWS983056:AWS983058 BGO983056:BGO983058 BQK983056:BQK983058 CAG983056:CAG983058 CKC983056:CKC983058 CTY983056:CTY983058 DDU983056:DDU983058 DNQ983056:DNQ983058 DXM983056:DXM983058 EHI983056:EHI983058 ERE983056:ERE983058 FBA983056:FBA983058 FKW983056:FKW983058 FUS983056:FUS983058 GEO983056:GEO983058 GOK983056:GOK983058 GYG983056:GYG983058 HIC983056:HIC983058 HRY983056:HRY983058 IBU983056:IBU983058 ILQ983056:ILQ983058 IVM983056:IVM983058 JFI983056:JFI983058 JPE983056:JPE983058 JZA983056:JZA983058 KIW983056:KIW983058 KSS983056:KSS983058 LCO983056:LCO983058 LMK983056:LMK983058 LWG983056:LWG983058 MGC983056:MGC983058 MPY983056:MPY983058 MZU983056:MZU983058 NJQ983056:NJQ983058 NTM983056:NTM983058 ODI983056:ODI983058 ONE983056:ONE983058 OXA983056:OXA983058 PGW983056:PGW983058 PQS983056:PQS983058 QAO983056:QAO983058 QKK983056:QKK983058 QUG983056:QUG983058 REC983056:REC983058 RNY983056:RNY983058 RXU983056:RXU983058 SHQ983056:SHQ983058 SRM983056:SRM983058 TBI983056:TBI983058 TLE983056:TLE983058 TVA983056:TVA983058 UEW983056:UEW983058 UOS983056:UOS983058 UYO983056:UYO983058 VIK983056:VIK983058 VSG983056:VSG983058 WCC983056:WCC983058 WLY983056:WLY983058 WVU983056:WVU983058 WVU30:WVU32 WLY30:WLY32 WCC30:WCC32 VSG30:VSG32 VIK30:VIK32 UYO30:UYO32 UOS30:UOS32 UEW30:UEW32 TVA30:TVA32 TLE30:TLE32 TBI30:TBI32 SRM30:SRM32 SHQ30:SHQ32 RXU30:RXU32 RNY30:RNY32 REC30:REC32 QUG30:QUG32 QKK30:QKK32 QAO30:QAO32 PQS30:PQS32 PGW30:PGW32 OXA30:OXA32 ONE30:ONE32 ODI30:ODI32 NTM30:NTM32 NJQ30:NJQ32 MZU30:MZU32 MPY30:MPY32 MGC30:MGC32 LWG30:LWG32 LMK30:LMK32 LCO30:LCO32 KSS30:KSS32 KIW30:KIW32 JZA30:JZA32 JPE30:JPE32 JFI30:JFI32 IVM30:IVM32 ILQ30:ILQ32 IBU30:IBU32 HRY30:HRY32 HIC30:HIC32 GYG30:GYG32 GOK30:GOK32 GEO30:GEO32 FUS30:FUS32 FKW30:FKW32 FBA30:FBA32 ERE30:ERE32 EHI30:EHI32 DXM30:DXM32 DNQ30:DNQ32 DDU30:DDU32 CTY30:CTY32 CKC30:CKC32 CAG30:CAG32 BQK30:BQK32 BGO30:BGO32 AWS30:AWS32 AMW30:AMW32 ADA30:ADA32 TE30:TE32 JI30:JI32 M31:M32" xr:uid="{00000000-0002-0000-0600-000003000000}">
      <formula1>#REF!</formula1>
    </dataValidation>
    <dataValidation type="list" allowBlank="1" showInputMessage="1" showErrorMessage="1" sqref="L65552:L65554 JH65552:JH65554 JH30:JH32 TD30:TD32 ACZ30:ACZ32 AMV30:AMV32 AWR30:AWR32 BGN30:BGN32 BQJ30:BQJ32 CAF30:CAF32 CKB30:CKB32 CTX30:CTX32 DDT30:DDT32 DNP30:DNP32 DXL30:DXL32 EHH30:EHH32 ERD30:ERD32 FAZ30:FAZ32 FKV30:FKV32 FUR30:FUR32 GEN30:GEN32 GOJ30:GOJ32 GYF30:GYF32 HIB30:HIB32 HRX30:HRX32 IBT30:IBT32 ILP30:ILP32 IVL30:IVL32 JFH30:JFH32 JPD30:JPD32 JYZ30:JYZ32 KIV30:KIV32 KSR30:KSR32 LCN30:LCN32 LMJ30:LMJ32 LWF30:LWF32 MGB30:MGB32 MPX30:MPX32 MZT30:MZT32 NJP30:NJP32 NTL30:NTL32 ODH30:ODH32 OND30:OND32 OWZ30:OWZ32 PGV30:PGV32 PQR30:PQR32 QAN30:QAN32 QKJ30:QKJ32 QUF30:QUF32 REB30:REB32 RNX30:RNX32 RXT30:RXT32 SHP30:SHP32 SRL30:SRL32 TBH30:TBH32 TLD30:TLD32 TUZ30:TUZ32 UEV30:UEV32 UOR30:UOR32 UYN30:UYN32 VIJ30:VIJ32 VSF30:VSF32 WCB30:WCB32 WLX30:WLX32 WVT30:WVT32 WVT983056:WVT983058 WLX983056:WLX983058 WCB983056:WCB983058 VSF983056:VSF983058 VIJ983056:VIJ983058 UYN983056:UYN983058 UOR983056:UOR983058 UEV983056:UEV983058 TUZ983056:TUZ983058 TLD983056:TLD983058 TBH983056:TBH983058 SRL983056:SRL983058 SHP983056:SHP983058 RXT983056:RXT983058 RNX983056:RNX983058 REB983056:REB983058 QUF983056:QUF983058 QKJ983056:QKJ983058 QAN983056:QAN983058 PQR983056:PQR983058 PGV983056:PGV983058 OWZ983056:OWZ983058 OND983056:OND983058 ODH983056:ODH983058 NTL983056:NTL983058 NJP983056:NJP983058 MZT983056:MZT983058 MPX983056:MPX983058 MGB983056:MGB983058 LWF983056:LWF983058 LMJ983056:LMJ983058 LCN983056:LCN983058 KSR983056:KSR983058 KIV983056:KIV983058 JYZ983056:JYZ983058 JPD983056:JPD983058 JFH983056:JFH983058 IVL983056:IVL983058 ILP983056:ILP983058 IBT983056:IBT983058 HRX983056:HRX983058 HIB983056:HIB983058 GYF983056:GYF983058 GOJ983056:GOJ983058 GEN983056:GEN983058 FUR983056:FUR983058 FKV983056:FKV983058 FAZ983056:FAZ983058 ERD983056:ERD983058 EHH983056:EHH983058 DXL983056:DXL983058 DNP983056:DNP983058 DDT983056:DDT983058 CTX983056:CTX983058 CKB983056:CKB983058 CAF983056:CAF983058 BQJ983056:BQJ983058 BGN983056:BGN983058 AWR983056:AWR983058 AMV983056:AMV983058 ACZ983056:ACZ983058 TD983056:TD983058 JH983056:JH983058 L983056:L983058 WVT917520:WVT917522 WLX917520:WLX917522 WCB917520:WCB917522 VSF917520:VSF917522 VIJ917520:VIJ917522 UYN917520:UYN917522 UOR917520:UOR917522 UEV917520:UEV917522 TUZ917520:TUZ917522 TLD917520:TLD917522 TBH917520:TBH917522 SRL917520:SRL917522 SHP917520:SHP917522 RXT917520:RXT917522 RNX917520:RNX917522 REB917520:REB917522 QUF917520:QUF917522 QKJ917520:QKJ917522 QAN917520:QAN917522 PQR917520:PQR917522 PGV917520:PGV917522 OWZ917520:OWZ917522 OND917520:OND917522 ODH917520:ODH917522 NTL917520:NTL917522 NJP917520:NJP917522 MZT917520:MZT917522 MPX917520:MPX917522 MGB917520:MGB917522 LWF917520:LWF917522 LMJ917520:LMJ917522 LCN917520:LCN917522 KSR917520:KSR917522 KIV917520:KIV917522 JYZ917520:JYZ917522 JPD917520:JPD917522 JFH917520:JFH917522 IVL917520:IVL917522 ILP917520:ILP917522 IBT917520:IBT917522 HRX917520:HRX917522 HIB917520:HIB917522 GYF917520:GYF917522 GOJ917520:GOJ917522 GEN917520:GEN917522 FUR917520:FUR917522 FKV917520:FKV917522 FAZ917520:FAZ917522 ERD917520:ERD917522 EHH917520:EHH917522 DXL917520:DXL917522 DNP917520:DNP917522 DDT917520:DDT917522 CTX917520:CTX917522 CKB917520:CKB917522 CAF917520:CAF917522 BQJ917520:BQJ917522 BGN917520:BGN917522 AWR917520:AWR917522 AMV917520:AMV917522 ACZ917520:ACZ917522 TD917520:TD917522 JH917520:JH917522 L917520:L917522 WVT851984:WVT851986 WLX851984:WLX851986 WCB851984:WCB851986 VSF851984:VSF851986 VIJ851984:VIJ851986 UYN851984:UYN851986 UOR851984:UOR851986 UEV851984:UEV851986 TUZ851984:TUZ851986 TLD851984:TLD851986 TBH851984:TBH851986 SRL851984:SRL851986 SHP851984:SHP851986 RXT851984:RXT851986 RNX851984:RNX851986 REB851984:REB851986 QUF851984:QUF851986 QKJ851984:QKJ851986 QAN851984:QAN851986 PQR851984:PQR851986 PGV851984:PGV851986 OWZ851984:OWZ851986 OND851984:OND851986 ODH851984:ODH851986 NTL851984:NTL851986 NJP851984:NJP851986 MZT851984:MZT851986 MPX851984:MPX851986 MGB851984:MGB851986 LWF851984:LWF851986 LMJ851984:LMJ851986 LCN851984:LCN851986 KSR851984:KSR851986 KIV851984:KIV851986 JYZ851984:JYZ851986 JPD851984:JPD851986 JFH851984:JFH851986 IVL851984:IVL851986 ILP851984:ILP851986 IBT851984:IBT851986 HRX851984:HRX851986 HIB851984:HIB851986 GYF851984:GYF851986 GOJ851984:GOJ851986 GEN851984:GEN851986 FUR851984:FUR851986 FKV851984:FKV851986 FAZ851984:FAZ851986 ERD851984:ERD851986 EHH851984:EHH851986 DXL851984:DXL851986 DNP851984:DNP851986 DDT851984:DDT851986 CTX851984:CTX851986 CKB851984:CKB851986 CAF851984:CAF851986 BQJ851984:BQJ851986 BGN851984:BGN851986 AWR851984:AWR851986 AMV851984:AMV851986 ACZ851984:ACZ851986 TD851984:TD851986 JH851984:JH851986 L851984:L851986 WVT786448:WVT786450 WLX786448:WLX786450 WCB786448:WCB786450 VSF786448:VSF786450 VIJ786448:VIJ786450 UYN786448:UYN786450 UOR786448:UOR786450 UEV786448:UEV786450 TUZ786448:TUZ786450 TLD786448:TLD786450 TBH786448:TBH786450 SRL786448:SRL786450 SHP786448:SHP786450 RXT786448:RXT786450 RNX786448:RNX786450 REB786448:REB786450 QUF786448:QUF786450 QKJ786448:QKJ786450 QAN786448:QAN786450 PQR786448:PQR786450 PGV786448:PGV786450 OWZ786448:OWZ786450 OND786448:OND786450 ODH786448:ODH786450 NTL786448:NTL786450 NJP786448:NJP786450 MZT786448:MZT786450 MPX786448:MPX786450 MGB786448:MGB786450 LWF786448:LWF786450 LMJ786448:LMJ786450 LCN786448:LCN786450 KSR786448:KSR786450 KIV786448:KIV786450 JYZ786448:JYZ786450 JPD786448:JPD786450 JFH786448:JFH786450 IVL786448:IVL786450 ILP786448:ILP786450 IBT786448:IBT786450 HRX786448:HRX786450 HIB786448:HIB786450 GYF786448:GYF786450 GOJ786448:GOJ786450 GEN786448:GEN786450 FUR786448:FUR786450 FKV786448:FKV786450 FAZ786448:FAZ786450 ERD786448:ERD786450 EHH786448:EHH786450 DXL786448:DXL786450 DNP786448:DNP786450 DDT786448:DDT786450 CTX786448:CTX786450 CKB786448:CKB786450 CAF786448:CAF786450 BQJ786448:BQJ786450 BGN786448:BGN786450 AWR786448:AWR786450 AMV786448:AMV786450 ACZ786448:ACZ786450 TD786448:TD786450 JH786448:JH786450 L786448:L786450 WVT720912:WVT720914 WLX720912:WLX720914 WCB720912:WCB720914 VSF720912:VSF720914 VIJ720912:VIJ720914 UYN720912:UYN720914 UOR720912:UOR720914 UEV720912:UEV720914 TUZ720912:TUZ720914 TLD720912:TLD720914 TBH720912:TBH720914 SRL720912:SRL720914 SHP720912:SHP720914 RXT720912:RXT720914 RNX720912:RNX720914 REB720912:REB720914 QUF720912:QUF720914 QKJ720912:QKJ720914 QAN720912:QAN720914 PQR720912:PQR720914 PGV720912:PGV720914 OWZ720912:OWZ720914 OND720912:OND720914 ODH720912:ODH720914 NTL720912:NTL720914 NJP720912:NJP720914 MZT720912:MZT720914 MPX720912:MPX720914 MGB720912:MGB720914 LWF720912:LWF720914 LMJ720912:LMJ720914 LCN720912:LCN720914 KSR720912:KSR720914 KIV720912:KIV720914 JYZ720912:JYZ720914 JPD720912:JPD720914 JFH720912:JFH720914 IVL720912:IVL720914 ILP720912:ILP720914 IBT720912:IBT720914 HRX720912:HRX720914 HIB720912:HIB720914 GYF720912:GYF720914 GOJ720912:GOJ720914 GEN720912:GEN720914 FUR720912:FUR720914 FKV720912:FKV720914 FAZ720912:FAZ720914 ERD720912:ERD720914 EHH720912:EHH720914 DXL720912:DXL720914 DNP720912:DNP720914 DDT720912:DDT720914 CTX720912:CTX720914 CKB720912:CKB720914 CAF720912:CAF720914 BQJ720912:BQJ720914 BGN720912:BGN720914 AWR720912:AWR720914 AMV720912:AMV720914 ACZ720912:ACZ720914 TD720912:TD720914 JH720912:JH720914 L720912:L720914 WVT655376:WVT655378 WLX655376:WLX655378 WCB655376:WCB655378 VSF655376:VSF655378 VIJ655376:VIJ655378 UYN655376:UYN655378 UOR655376:UOR655378 UEV655376:UEV655378 TUZ655376:TUZ655378 TLD655376:TLD655378 TBH655376:TBH655378 SRL655376:SRL655378 SHP655376:SHP655378 RXT655376:RXT655378 RNX655376:RNX655378 REB655376:REB655378 QUF655376:QUF655378 QKJ655376:QKJ655378 QAN655376:QAN655378 PQR655376:PQR655378 PGV655376:PGV655378 OWZ655376:OWZ655378 OND655376:OND655378 ODH655376:ODH655378 NTL655376:NTL655378 NJP655376:NJP655378 MZT655376:MZT655378 MPX655376:MPX655378 MGB655376:MGB655378 LWF655376:LWF655378 LMJ655376:LMJ655378 LCN655376:LCN655378 KSR655376:KSR655378 KIV655376:KIV655378 JYZ655376:JYZ655378 JPD655376:JPD655378 JFH655376:JFH655378 IVL655376:IVL655378 ILP655376:ILP655378 IBT655376:IBT655378 HRX655376:HRX655378 HIB655376:HIB655378 GYF655376:GYF655378 GOJ655376:GOJ655378 GEN655376:GEN655378 FUR655376:FUR655378 FKV655376:FKV655378 FAZ655376:FAZ655378 ERD655376:ERD655378 EHH655376:EHH655378 DXL655376:DXL655378 DNP655376:DNP655378 DDT655376:DDT655378 CTX655376:CTX655378 CKB655376:CKB655378 CAF655376:CAF655378 BQJ655376:BQJ655378 BGN655376:BGN655378 AWR655376:AWR655378 AMV655376:AMV655378 ACZ655376:ACZ655378 TD655376:TD655378 JH655376:JH655378 L655376:L655378 WVT589840:WVT589842 WLX589840:WLX589842 WCB589840:WCB589842 VSF589840:VSF589842 VIJ589840:VIJ589842 UYN589840:UYN589842 UOR589840:UOR589842 UEV589840:UEV589842 TUZ589840:TUZ589842 TLD589840:TLD589842 TBH589840:TBH589842 SRL589840:SRL589842 SHP589840:SHP589842 RXT589840:RXT589842 RNX589840:RNX589842 REB589840:REB589842 QUF589840:QUF589842 QKJ589840:QKJ589842 QAN589840:QAN589842 PQR589840:PQR589842 PGV589840:PGV589842 OWZ589840:OWZ589842 OND589840:OND589842 ODH589840:ODH589842 NTL589840:NTL589842 NJP589840:NJP589842 MZT589840:MZT589842 MPX589840:MPX589842 MGB589840:MGB589842 LWF589840:LWF589842 LMJ589840:LMJ589842 LCN589840:LCN589842 KSR589840:KSR589842 KIV589840:KIV589842 JYZ589840:JYZ589842 JPD589840:JPD589842 JFH589840:JFH589842 IVL589840:IVL589842 ILP589840:ILP589842 IBT589840:IBT589842 HRX589840:HRX589842 HIB589840:HIB589842 GYF589840:GYF589842 GOJ589840:GOJ589842 GEN589840:GEN589842 FUR589840:FUR589842 FKV589840:FKV589842 FAZ589840:FAZ589842 ERD589840:ERD589842 EHH589840:EHH589842 DXL589840:DXL589842 DNP589840:DNP589842 DDT589840:DDT589842 CTX589840:CTX589842 CKB589840:CKB589842 CAF589840:CAF589842 BQJ589840:BQJ589842 BGN589840:BGN589842 AWR589840:AWR589842 AMV589840:AMV589842 ACZ589840:ACZ589842 TD589840:TD589842 JH589840:JH589842 L589840:L589842 WVT524304:WVT524306 WLX524304:WLX524306 WCB524304:WCB524306 VSF524304:VSF524306 VIJ524304:VIJ524306 UYN524304:UYN524306 UOR524304:UOR524306 UEV524304:UEV524306 TUZ524304:TUZ524306 TLD524304:TLD524306 TBH524304:TBH524306 SRL524304:SRL524306 SHP524304:SHP524306 RXT524304:RXT524306 RNX524304:RNX524306 REB524304:REB524306 QUF524304:QUF524306 QKJ524304:QKJ524306 QAN524304:QAN524306 PQR524304:PQR524306 PGV524304:PGV524306 OWZ524304:OWZ524306 OND524304:OND524306 ODH524304:ODH524306 NTL524304:NTL524306 NJP524304:NJP524306 MZT524304:MZT524306 MPX524304:MPX524306 MGB524304:MGB524306 LWF524304:LWF524306 LMJ524304:LMJ524306 LCN524304:LCN524306 KSR524304:KSR524306 KIV524304:KIV524306 JYZ524304:JYZ524306 JPD524304:JPD524306 JFH524304:JFH524306 IVL524304:IVL524306 ILP524304:ILP524306 IBT524304:IBT524306 HRX524304:HRX524306 HIB524304:HIB524306 GYF524304:GYF524306 GOJ524304:GOJ524306 GEN524304:GEN524306 FUR524304:FUR524306 FKV524304:FKV524306 FAZ524304:FAZ524306 ERD524304:ERD524306 EHH524304:EHH524306 DXL524304:DXL524306 DNP524304:DNP524306 DDT524304:DDT524306 CTX524304:CTX524306 CKB524304:CKB524306 CAF524304:CAF524306 BQJ524304:BQJ524306 BGN524304:BGN524306 AWR524304:AWR524306 AMV524304:AMV524306 ACZ524304:ACZ524306 TD524304:TD524306 JH524304:JH524306 L524304:L524306 WVT458768:WVT458770 WLX458768:WLX458770 WCB458768:WCB458770 VSF458768:VSF458770 VIJ458768:VIJ458770 UYN458768:UYN458770 UOR458768:UOR458770 UEV458768:UEV458770 TUZ458768:TUZ458770 TLD458768:TLD458770 TBH458768:TBH458770 SRL458768:SRL458770 SHP458768:SHP458770 RXT458768:RXT458770 RNX458768:RNX458770 REB458768:REB458770 QUF458768:QUF458770 QKJ458768:QKJ458770 QAN458768:QAN458770 PQR458768:PQR458770 PGV458768:PGV458770 OWZ458768:OWZ458770 OND458768:OND458770 ODH458768:ODH458770 NTL458768:NTL458770 NJP458768:NJP458770 MZT458768:MZT458770 MPX458768:MPX458770 MGB458768:MGB458770 LWF458768:LWF458770 LMJ458768:LMJ458770 LCN458768:LCN458770 KSR458768:KSR458770 KIV458768:KIV458770 JYZ458768:JYZ458770 JPD458768:JPD458770 JFH458768:JFH458770 IVL458768:IVL458770 ILP458768:ILP458770 IBT458768:IBT458770 HRX458768:HRX458770 HIB458768:HIB458770 GYF458768:GYF458770 GOJ458768:GOJ458770 GEN458768:GEN458770 FUR458768:FUR458770 FKV458768:FKV458770 FAZ458768:FAZ458770 ERD458768:ERD458770 EHH458768:EHH458770 DXL458768:DXL458770 DNP458768:DNP458770 DDT458768:DDT458770 CTX458768:CTX458770 CKB458768:CKB458770 CAF458768:CAF458770 BQJ458768:BQJ458770 BGN458768:BGN458770 AWR458768:AWR458770 AMV458768:AMV458770 ACZ458768:ACZ458770 TD458768:TD458770 JH458768:JH458770 L458768:L458770 WVT393232:WVT393234 WLX393232:WLX393234 WCB393232:WCB393234 VSF393232:VSF393234 VIJ393232:VIJ393234 UYN393232:UYN393234 UOR393232:UOR393234 UEV393232:UEV393234 TUZ393232:TUZ393234 TLD393232:TLD393234 TBH393232:TBH393234 SRL393232:SRL393234 SHP393232:SHP393234 RXT393232:RXT393234 RNX393232:RNX393234 REB393232:REB393234 QUF393232:QUF393234 QKJ393232:QKJ393234 QAN393232:QAN393234 PQR393232:PQR393234 PGV393232:PGV393234 OWZ393232:OWZ393234 OND393232:OND393234 ODH393232:ODH393234 NTL393232:NTL393234 NJP393232:NJP393234 MZT393232:MZT393234 MPX393232:MPX393234 MGB393232:MGB393234 LWF393232:LWF393234 LMJ393232:LMJ393234 LCN393232:LCN393234 KSR393232:KSR393234 KIV393232:KIV393234 JYZ393232:JYZ393234 JPD393232:JPD393234 JFH393232:JFH393234 IVL393232:IVL393234 ILP393232:ILP393234 IBT393232:IBT393234 HRX393232:HRX393234 HIB393232:HIB393234 GYF393232:GYF393234 GOJ393232:GOJ393234 GEN393232:GEN393234 FUR393232:FUR393234 FKV393232:FKV393234 FAZ393232:FAZ393234 ERD393232:ERD393234 EHH393232:EHH393234 DXL393232:DXL393234 DNP393232:DNP393234 DDT393232:DDT393234 CTX393232:CTX393234 CKB393232:CKB393234 CAF393232:CAF393234 BQJ393232:BQJ393234 BGN393232:BGN393234 AWR393232:AWR393234 AMV393232:AMV393234 ACZ393232:ACZ393234 TD393232:TD393234 JH393232:JH393234 L393232:L393234 WVT327696:WVT327698 WLX327696:WLX327698 WCB327696:WCB327698 VSF327696:VSF327698 VIJ327696:VIJ327698 UYN327696:UYN327698 UOR327696:UOR327698 UEV327696:UEV327698 TUZ327696:TUZ327698 TLD327696:TLD327698 TBH327696:TBH327698 SRL327696:SRL327698 SHP327696:SHP327698 RXT327696:RXT327698 RNX327696:RNX327698 REB327696:REB327698 QUF327696:QUF327698 QKJ327696:QKJ327698 QAN327696:QAN327698 PQR327696:PQR327698 PGV327696:PGV327698 OWZ327696:OWZ327698 OND327696:OND327698 ODH327696:ODH327698 NTL327696:NTL327698 NJP327696:NJP327698 MZT327696:MZT327698 MPX327696:MPX327698 MGB327696:MGB327698 LWF327696:LWF327698 LMJ327696:LMJ327698 LCN327696:LCN327698 KSR327696:KSR327698 KIV327696:KIV327698 JYZ327696:JYZ327698 JPD327696:JPD327698 JFH327696:JFH327698 IVL327696:IVL327698 ILP327696:ILP327698 IBT327696:IBT327698 HRX327696:HRX327698 HIB327696:HIB327698 GYF327696:GYF327698 GOJ327696:GOJ327698 GEN327696:GEN327698 FUR327696:FUR327698 FKV327696:FKV327698 FAZ327696:FAZ327698 ERD327696:ERD327698 EHH327696:EHH327698 DXL327696:DXL327698 DNP327696:DNP327698 DDT327696:DDT327698 CTX327696:CTX327698 CKB327696:CKB327698 CAF327696:CAF327698 BQJ327696:BQJ327698 BGN327696:BGN327698 AWR327696:AWR327698 AMV327696:AMV327698 ACZ327696:ACZ327698 TD327696:TD327698 JH327696:JH327698 L327696:L327698 WVT262160:WVT262162 WLX262160:WLX262162 WCB262160:WCB262162 VSF262160:VSF262162 VIJ262160:VIJ262162 UYN262160:UYN262162 UOR262160:UOR262162 UEV262160:UEV262162 TUZ262160:TUZ262162 TLD262160:TLD262162 TBH262160:TBH262162 SRL262160:SRL262162 SHP262160:SHP262162 RXT262160:RXT262162 RNX262160:RNX262162 REB262160:REB262162 QUF262160:QUF262162 QKJ262160:QKJ262162 QAN262160:QAN262162 PQR262160:PQR262162 PGV262160:PGV262162 OWZ262160:OWZ262162 OND262160:OND262162 ODH262160:ODH262162 NTL262160:NTL262162 NJP262160:NJP262162 MZT262160:MZT262162 MPX262160:MPX262162 MGB262160:MGB262162 LWF262160:LWF262162 LMJ262160:LMJ262162 LCN262160:LCN262162 KSR262160:KSR262162 KIV262160:KIV262162 JYZ262160:JYZ262162 JPD262160:JPD262162 JFH262160:JFH262162 IVL262160:IVL262162 ILP262160:ILP262162 IBT262160:IBT262162 HRX262160:HRX262162 HIB262160:HIB262162 GYF262160:GYF262162 GOJ262160:GOJ262162 GEN262160:GEN262162 FUR262160:FUR262162 FKV262160:FKV262162 FAZ262160:FAZ262162 ERD262160:ERD262162 EHH262160:EHH262162 DXL262160:DXL262162 DNP262160:DNP262162 DDT262160:DDT262162 CTX262160:CTX262162 CKB262160:CKB262162 CAF262160:CAF262162 BQJ262160:BQJ262162 BGN262160:BGN262162 AWR262160:AWR262162 AMV262160:AMV262162 ACZ262160:ACZ262162 TD262160:TD262162 JH262160:JH262162 L262160:L262162 WVT196624:WVT196626 WLX196624:WLX196626 WCB196624:WCB196626 VSF196624:VSF196626 VIJ196624:VIJ196626 UYN196624:UYN196626 UOR196624:UOR196626 UEV196624:UEV196626 TUZ196624:TUZ196626 TLD196624:TLD196626 TBH196624:TBH196626 SRL196624:SRL196626 SHP196624:SHP196626 RXT196624:RXT196626 RNX196624:RNX196626 REB196624:REB196626 QUF196624:QUF196626 QKJ196624:QKJ196626 QAN196624:QAN196626 PQR196624:PQR196626 PGV196624:PGV196626 OWZ196624:OWZ196626 OND196624:OND196626 ODH196624:ODH196626 NTL196624:NTL196626 NJP196624:NJP196626 MZT196624:MZT196626 MPX196624:MPX196626 MGB196624:MGB196626 LWF196624:LWF196626 LMJ196624:LMJ196626 LCN196624:LCN196626 KSR196624:KSR196626 KIV196624:KIV196626 JYZ196624:JYZ196626 JPD196624:JPD196626 JFH196624:JFH196626 IVL196624:IVL196626 ILP196624:ILP196626 IBT196624:IBT196626 HRX196624:HRX196626 HIB196624:HIB196626 GYF196624:GYF196626 GOJ196624:GOJ196626 GEN196624:GEN196626 FUR196624:FUR196626 FKV196624:FKV196626 FAZ196624:FAZ196626 ERD196624:ERD196626 EHH196624:EHH196626 DXL196624:DXL196626 DNP196624:DNP196626 DDT196624:DDT196626 CTX196624:CTX196626 CKB196624:CKB196626 CAF196624:CAF196626 BQJ196624:BQJ196626 BGN196624:BGN196626 AWR196624:AWR196626 AMV196624:AMV196626 ACZ196624:ACZ196626 TD196624:TD196626 JH196624:JH196626 L196624:L196626 WVT131088:WVT131090 WLX131088:WLX131090 WCB131088:WCB131090 VSF131088:VSF131090 VIJ131088:VIJ131090 UYN131088:UYN131090 UOR131088:UOR131090 UEV131088:UEV131090 TUZ131088:TUZ131090 TLD131088:TLD131090 TBH131088:TBH131090 SRL131088:SRL131090 SHP131088:SHP131090 RXT131088:RXT131090 RNX131088:RNX131090 REB131088:REB131090 QUF131088:QUF131090 QKJ131088:QKJ131090 QAN131088:QAN131090 PQR131088:PQR131090 PGV131088:PGV131090 OWZ131088:OWZ131090 OND131088:OND131090 ODH131088:ODH131090 NTL131088:NTL131090 NJP131088:NJP131090 MZT131088:MZT131090 MPX131088:MPX131090 MGB131088:MGB131090 LWF131088:LWF131090 LMJ131088:LMJ131090 LCN131088:LCN131090 KSR131088:KSR131090 KIV131088:KIV131090 JYZ131088:JYZ131090 JPD131088:JPD131090 JFH131088:JFH131090 IVL131088:IVL131090 ILP131088:ILP131090 IBT131088:IBT131090 HRX131088:HRX131090 HIB131088:HIB131090 GYF131088:GYF131090 GOJ131088:GOJ131090 GEN131088:GEN131090 FUR131088:FUR131090 FKV131088:FKV131090 FAZ131088:FAZ131090 ERD131088:ERD131090 EHH131088:EHH131090 DXL131088:DXL131090 DNP131088:DNP131090 DDT131088:DDT131090 CTX131088:CTX131090 CKB131088:CKB131090 CAF131088:CAF131090 BQJ131088:BQJ131090 BGN131088:BGN131090 AWR131088:AWR131090 AMV131088:AMV131090 ACZ131088:ACZ131090 TD131088:TD131090 JH131088:JH131090 L131088:L131090 WVT65552:WVT65554 WLX65552:WLX65554 WCB65552:WCB65554 VSF65552:VSF65554 VIJ65552:VIJ65554 UYN65552:UYN65554 UOR65552:UOR65554 UEV65552:UEV65554 TUZ65552:TUZ65554 TLD65552:TLD65554 TBH65552:TBH65554 SRL65552:SRL65554 SHP65552:SHP65554 RXT65552:RXT65554 RNX65552:RNX65554 REB65552:REB65554 QUF65552:QUF65554 QKJ65552:QKJ65554 QAN65552:QAN65554 PQR65552:PQR65554 PGV65552:PGV65554 OWZ65552:OWZ65554 OND65552:OND65554 ODH65552:ODH65554 NTL65552:NTL65554 NJP65552:NJP65554 MZT65552:MZT65554 MPX65552:MPX65554 MGB65552:MGB65554 LWF65552:LWF65554 LMJ65552:LMJ65554 LCN65552:LCN65554 KSR65552:KSR65554 KIV65552:KIV65554 JYZ65552:JYZ65554 JPD65552:JPD65554 JFH65552:JFH65554 IVL65552:IVL65554 ILP65552:ILP65554 IBT65552:IBT65554 HRX65552:HRX65554 HIB65552:HIB65554 GYF65552:GYF65554 GOJ65552:GOJ65554 GEN65552:GEN65554 FUR65552:FUR65554 FKV65552:FKV65554 FAZ65552:FAZ65554 ERD65552:ERD65554 EHH65552:EHH65554 DXL65552:DXL65554 DNP65552:DNP65554 DDT65552:DDT65554 CTX65552:CTX65554 CKB65552:CKB65554 CAF65552:CAF65554 BQJ65552:BQJ65554 BGN65552:BGN65554 AWR65552:AWR65554 AMV65552:AMV65554 ACZ65552:ACZ65554 TD65552:TD65554 L31:L32" xr:uid="{00000000-0002-0000-0600-000004000000}">
      <formula1>$N$17:$N$20</formula1>
    </dataValidation>
    <dataValidation type="list" allowBlank="1" showInputMessage="1" showErrorMessage="1" sqref="N65552:N65554 JJ65552:JJ65554 JJ30:JJ32 TF30:TF32 ADB30:ADB32 AMX30:AMX32 AWT30:AWT32 BGP30:BGP32 BQL30:BQL32 CAH30:CAH32 CKD30:CKD32 CTZ30:CTZ32 DDV30:DDV32 DNR30:DNR32 DXN30:DXN32 EHJ30:EHJ32 ERF30:ERF32 FBB30:FBB32 FKX30:FKX32 FUT30:FUT32 GEP30:GEP32 GOL30:GOL32 GYH30:GYH32 HID30:HID32 HRZ30:HRZ32 IBV30:IBV32 ILR30:ILR32 IVN30:IVN32 JFJ30:JFJ32 JPF30:JPF32 JZB30:JZB32 KIX30:KIX32 KST30:KST32 LCP30:LCP32 LML30:LML32 LWH30:LWH32 MGD30:MGD32 MPZ30:MPZ32 MZV30:MZV32 NJR30:NJR32 NTN30:NTN32 ODJ30:ODJ32 ONF30:ONF32 OXB30:OXB32 PGX30:PGX32 PQT30:PQT32 QAP30:QAP32 QKL30:QKL32 QUH30:QUH32 RED30:RED32 RNZ30:RNZ32 RXV30:RXV32 SHR30:SHR32 SRN30:SRN32 TBJ30:TBJ32 TLF30:TLF32 TVB30:TVB32 UEX30:UEX32 UOT30:UOT32 UYP30:UYP32 VIL30:VIL32 VSH30:VSH32 WCD30:WCD32 WLZ30:WLZ32 WVV30:WVV32 WVV983056:WVV983058 WLZ983056:WLZ983058 WCD983056:WCD983058 VSH983056:VSH983058 VIL983056:VIL983058 UYP983056:UYP983058 UOT983056:UOT983058 UEX983056:UEX983058 TVB983056:TVB983058 TLF983056:TLF983058 TBJ983056:TBJ983058 SRN983056:SRN983058 SHR983056:SHR983058 RXV983056:RXV983058 RNZ983056:RNZ983058 RED983056:RED983058 QUH983056:QUH983058 QKL983056:QKL983058 QAP983056:QAP983058 PQT983056:PQT983058 PGX983056:PGX983058 OXB983056:OXB983058 ONF983056:ONF983058 ODJ983056:ODJ983058 NTN983056:NTN983058 NJR983056:NJR983058 MZV983056:MZV983058 MPZ983056:MPZ983058 MGD983056:MGD983058 LWH983056:LWH983058 LML983056:LML983058 LCP983056:LCP983058 KST983056:KST983058 KIX983056:KIX983058 JZB983056:JZB983058 JPF983056:JPF983058 JFJ983056:JFJ983058 IVN983056:IVN983058 ILR983056:ILR983058 IBV983056:IBV983058 HRZ983056:HRZ983058 HID983056:HID983058 GYH983056:GYH983058 GOL983056:GOL983058 GEP983056:GEP983058 FUT983056:FUT983058 FKX983056:FKX983058 FBB983056:FBB983058 ERF983056:ERF983058 EHJ983056:EHJ983058 DXN983056:DXN983058 DNR983056:DNR983058 DDV983056:DDV983058 CTZ983056:CTZ983058 CKD983056:CKD983058 CAH983056:CAH983058 BQL983056:BQL983058 BGP983056:BGP983058 AWT983056:AWT983058 AMX983056:AMX983058 ADB983056:ADB983058 TF983056:TF983058 JJ983056:JJ983058 N983056:N983058 WVV917520:WVV917522 WLZ917520:WLZ917522 WCD917520:WCD917522 VSH917520:VSH917522 VIL917520:VIL917522 UYP917520:UYP917522 UOT917520:UOT917522 UEX917520:UEX917522 TVB917520:TVB917522 TLF917520:TLF917522 TBJ917520:TBJ917522 SRN917520:SRN917522 SHR917520:SHR917522 RXV917520:RXV917522 RNZ917520:RNZ917522 RED917520:RED917522 QUH917520:QUH917522 QKL917520:QKL917522 QAP917520:QAP917522 PQT917520:PQT917522 PGX917520:PGX917522 OXB917520:OXB917522 ONF917520:ONF917522 ODJ917520:ODJ917522 NTN917520:NTN917522 NJR917520:NJR917522 MZV917520:MZV917522 MPZ917520:MPZ917522 MGD917520:MGD917522 LWH917520:LWH917522 LML917520:LML917522 LCP917520:LCP917522 KST917520:KST917522 KIX917520:KIX917522 JZB917520:JZB917522 JPF917520:JPF917522 JFJ917520:JFJ917522 IVN917520:IVN917522 ILR917520:ILR917522 IBV917520:IBV917522 HRZ917520:HRZ917522 HID917520:HID917522 GYH917520:GYH917522 GOL917520:GOL917522 GEP917520:GEP917522 FUT917520:FUT917522 FKX917520:FKX917522 FBB917520:FBB917522 ERF917520:ERF917522 EHJ917520:EHJ917522 DXN917520:DXN917522 DNR917520:DNR917522 DDV917520:DDV917522 CTZ917520:CTZ917522 CKD917520:CKD917522 CAH917520:CAH917522 BQL917520:BQL917522 BGP917520:BGP917522 AWT917520:AWT917522 AMX917520:AMX917522 ADB917520:ADB917522 TF917520:TF917522 JJ917520:JJ917522 N917520:N917522 WVV851984:WVV851986 WLZ851984:WLZ851986 WCD851984:WCD851986 VSH851984:VSH851986 VIL851984:VIL851986 UYP851984:UYP851986 UOT851984:UOT851986 UEX851984:UEX851986 TVB851984:TVB851986 TLF851984:TLF851986 TBJ851984:TBJ851986 SRN851984:SRN851986 SHR851984:SHR851986 RXV851984:RXV851986 RNZ851984:RNZ851986 RED851984:RED851986 QUH851984:QUH851986 QKL851984:QKL851986 QAP851984:QAP851986 PQT851984:PQT851986 PGX851984:PGX851986 OXB851984:OXB851986 ONF851984:ONF851986 ODJ851984:ODJ851986 NTN851984:NTN851986 NJR851984:NJR851986 MZV851984:MZV851986 MPZ851984:MPZ851986 MGD851984:MGD851986 LWH851984:LWH851986 LML851984:LML851986 LCP851984:LCP851986 KST851984:KST851986 KIX851984:KIX851986 JZB851984:JZB851986 JPF851984:JPF851986 JFJ851984:JFJ851986 IVN851984:IVN851986 ILR851984:ILR851986 IBV851984:IBV851986 HRZ851984:HRZ851986 HID851984:HID851986 GYH851984:GYH851986 GOL851984:GOL851986 GEP851984:GEP851986 FUT851984:FUT851986 FKX851984:FKX851986 FBB851984:FBB851986 ERF851984:ERF851986 EHJ851984:EHJ851986 DXN851984:DXN851986 DNR851984:DNR851986 DDV851984:DDV851986 CTZ851984:CTZ851986 CKD851984:CKD851986 CAH851984:CAH851986 BQL851984:BQL851986 BGP851984:BGP851986 AWT851984:AWT851986 AMX851984:AMX851986 ADB851984:ADB851986 TF851984:TF851986 JJ851984:JJ851986 N851984:N851986 WVV786448:WVV786450 WLZ786448:WLZ786450 WCD786448:WCD786450 VSH786448:VSH786450 VIL786448:VIL786450 UYP786448:UYP786450 UOT786448:UOT786450 UEX786448:UEX786450 TVB786448:TVB786450 TLF786448:TLF786450 TBJ786448:TBJ786450 SRN786448:SRN786450 SHR786448:SHR786450 RXV786448:RXV786450 RNZ786448:RNZ786450 RED786448:RED786450 QUH786448:QUH786450 QKL786448:QKL786450 QAP786448:QAP786450 PQT786448:PQT786450 PGX786448:PGX786450 OXB786448:OXB786450 ONF786448:ONF786450 ODJ786448:ODJ786450 NTN786448:NTN786450 NJR786448:NJR786450 MZV786448:MZV786450 MPZ786448:MPZ786450 MGD786448:MGD786450 LWH786448:LWH786450 LML786448:LML786450 LCP786448:LCP786450 KST786448:KST786450 KIX786448:KIX786450 JZB786448:JZB786450 JPF786448:JPF786450 JFJ786448:JFJ786450 IVN786448:IVN786450 ILR786448:ILR786450 IBV786448:IBV786450 HRZ786448:HRZ786450 HID786448:HID786450 GYH786448:GYH786450 GOL786448:GOL786450 GEP786448:GEP786450 FUT786448:FUT786450 FKX786448:FKX786450 FBB786448:FBB786450 ERF786448:ERF786450 EHJ786448:EHJ786450 DXN786448:DXN786450 DNR786448:DNR786450 DDV786448:DDV786450 CTZ786448:CTZ786450 CKD786448:CKD786450 CAH786448:CAH786450 BQL786448:BQL786450 BGP786448:BGP786450 AWT786448:AWT786450 AMX786448:AMX786450 ADB786448:ADB786450 TF786448:TF786450 JJ786448:JJ786450 N786448:N786450 WVV720912:WVV720914 WLZ720912:WLZ720914 WCD720912:WCD720914 VSH720912:VSH720914 VIL720912:VIL720914 UYP720912:UYP720914 UOT720912:UOT720914 UEX720912:UEX720914 TVB720912:TVB720914 TLF720912:TLF720914 TBJ720912:TBJ720914 SRN720912:SRN720914 SHR720912:SHR720914 RXV720912:RXV720914 RNZ720912:RNZ720914 RED720912:RED720914 QUH720912:QUH720914 QKL720912:QKL720914 QAP720912:QAP720914 PQT720912:PQT720914 PGX720912:PGX720914 OXB720912:OXB720914 ONF720912:ONF720914 ODJ720912:ODJ720914 NTN720912:NTN720914 NJR720912:NJR720914 MZV720912:MZV720914 MPZ720912:MPZ720914 MGD720912:MGD720914 LWH720912:LWH720914 LML720912:LML720914 LCP720912:LCP720914 KST720912:KST720914 KIX720912:KIX720914 JZB720912:JZB720914 JPF720912:JPF720914 JFJ720912:JFJ720914 IVN720912:IVN720914 ILR720912:ILR720914 IBV720912:IBV720914 HRZ720912:HRZ720914 HID720912:HID720914 GYH720912:GYH720914 GOL720912:GOL720914 GEP720912:GEP720914 FUT720912:FUT720914 FKX720912:FKX720914 FBB720912:FBB720914 ERF720912:ERF720914 EHJ720912:EHJ720914 DXN720912:DXN720914 DNR720912:DNR720914 DDV720912:DDV720914 CTZ720912:CTZ720914 CKD720912:CKD720914 CAH720912:CAH720914 BQL720912:BQL720914 BGP720912:BGP720914 AWT720912:AWT720914 AMX720912:AMX720914 ADB720912:ADB720914 TF720912:TF720914 JJ720912:JJ720914 N720912:N720914 WVV655376:WVV655378 WLZ655376:WLZ655378 WCD655376:WCD655378 VSH655376:VSH655378 VIL655376:VIL655378 UYP655376:UYP655378 UOT655376:UOT655378 UEX655376:UEX655378 TVB655376:TVB655378 TLF655376:TLF655378 TBJ655376:TBJ655378 SRN655376:SRN655378 SHR655376:SHR655378 RXV655376:RXV655378 RNZ655376:RNZ655378 RED655376:RED655378 QUH655376:QUH655378 QKL655376:QKL655378 QAP655376:QAP655378 PQT655376:PQT655378 PGX655376:PGX655378 OXB655376:OXB655378 ONF655376:ONF655378 ODJ655376:ODJ655378 NTN655376:NTN655378 NJR655376:NJR655378 MZV655376:MZV655378 MPZ655376:MPZ655378 MGD655376:MGD655378 LWH655376:LWH655378 LML655376:LML655378 LCP655376:LCP655378 KST655376:KST655378 KIX655376:KIX655378 JZB655376:JZB655378 JPF655376:JPF655378 JFJ655376:JFJ655378 IVN655376:IVN655378 ILR655376:ILR655378 IBV655376:IBV655378 HRZ655376:HRZ655378 HID655376:HID655378 GYH655376:GYH655378 GOL655376:GOL655378 GEP655376:GEP655378 FUT655376:FUT655378 FKX655376:FKX655378 FBB655376:FBB655378 ERF655376:ERF655378 EHJ655376:EHJ655378 DXN655376:DXN655378 DNR655376:DNR655378 DDV655376:DDV655378 CTZ655376:CTZ655378 CKD655376:CKD655378 CAH655376:CAH655378 BQL655376:BQL655378 BGP655376:BGP655378 AWT655376:AWT655378 AMX655376:AMX655378 ADB655376:ADB655378 TF655376:TF655378 JJ655376:JJ655378 N655376:N655378 WVV589840:WVV589842 WLZ589840:WLZ589842 WCD589840:WCD589842 VSH589840:VSH589842 VIL589840:VIL589842 UYP589840:UYP589842 UOT589840:UOT589842 UEX589840:UEX589842 TVB589840:TVB589842 TLF589840:TLF589842 TBJ589840:TBJ589842 SRN589840:SRN589842 SHR589840:SHR589842 RXV589840:RXV589842 RNZ589840:RNZ589842 RED589840:RED589842 QUH589840:QUH589842 QKL589840:QKL589842 QAP589840:QAP589842 PQT589840:PQT589842 PGX589840:PGX589842 OXB589840:OXB589842 ONF589840:ONF589842 ODJ589840:ODJ589842 NTN589840:NTN589842 NJR589840:NJR589842 MZV589840:MZV589842 MPZ589840:MPZ589842 MGD589840:MGD589842 LWH589840:LWH589842 LML589840:LML589842 LCP589840:LCP589842 KST589840:KST589842 KIX589840:KIX589842 JZB589840:JZB589842 JPF589840:JPF589842 JFJ589840:JFJ589842 IVN589840:IVN589842 ILR589840:ILR589842 IBV589840:IBV589842 HRZ589840:HRZ589842 HID589840:HID589842 GYH589840:GYH589842 GOL589840:GOL589842 GEP589840:GEP589842 FUT589840:FUT589842 FKX589840:FKX589842 FBB589840:FBB589842 ERF589840:ERF589842 EHJ589840:EHJ589842 DXN589840:DXN589842 DNR589840:DNR589842 DDV589840:DDV589842 CTZ589840:CTZ589842 CKD589840:CKD589842 CAH589840:CAH589842 BQL589840:BQL589842 BGP589840:BGP589842 AWT589840:AWT589842 AMX589840:AMX589842 ADB589840:ADB589842 TF589840:TF589842 JJ589840:JJ589842 N589840:N589842 WVV524304:WVV524306 WLZ524304:WLZ524306 WCD524304:WCD524306 VSH524304:VSH524306 VIL524304:VIL524306 UYP524304:UYP524306 UOT524304:UOT524306 UEX524304:UEX524306 TVB524304:TVB524306 TLF524304:TLF524306 TBJ524304:TBJ524306 SRN524304:SRN524306 SHR524304:SHR524306 RXV524304:RXV524306 RNZ524304:RNZ524306 RED524304:RED524306 QUH524304:QUH524306 QKL524304:QKL524306 QAP524304:QAP524306 PQT524304:PQT524306 PGX524304:PGX524306 OXB524304:OXB524306 ONF524304:ONF524306 ODJ524304:ODJ524306 NTN524304:NTN524306 NJR524304:NJR524306 MZV524304:MZV524306 MPZ524304:MPZ524306 MGD524304:MGD524306 LWH524304:LWH524306 LML524304:LML524306 LCP524304:LCP524306 KST524304:KST524306 KIX524304:KIX524306 JZB524304:JZB524306 JPF524304:JPF524306 JFJ524304:JFJ524306 IVN524304:IVN524306 ILR524304:ILR524306 IBV524304:IBV524306 HRZ524304:HRZ524306 HID524304:HID524306 GYH524304:GYH524306 GOL524304:GOL524306 GEP524304:GEP524306 FUT524304:FUT524306 FKX524304:FKX524306 FBB524304:FBB524306 ERF524304:ERF524306 EHJ524304:EHJ524306 DXN524304:DXN524306 DNR524304:DNR524306 DDV524304:DDV524306 CTZ524304:CTZ524306 CKD524304:CKD524306 CAH524304:CAH524306 BQL524304:BQL524306 BGP524304:BGP524306 AWT524304:AWT524306 AMX524304:AMX524306 ADB524304:ADB524306 TF524304:TF524306 JJ524304:JJ524306 N524304:N524306 WVV458768:WVV458770 WLZ458768:WLZ458770 WCD458768:WCD458770 VSH458768:VSH458770 VIL458768:VIL458770 UYP458768:UYP458770 UOT458768:UOT458770 UEX458768:UEX458770 TVB458768:TVB458770 TLF458768:TLF458770 TBJ458768:TBJ458770 SRN458768:SRN458770 SHR458768:SHR458770 RXV458768:RXV458770 RNZ458768:RNZ458770 RED458768:RED458770 QUH458768:QUH458770 QKL458768:QKL458770 QAP458768:QAP458770 PQT458768:PQT458770 PGX458768:PGX458770 OXB458768:OXB458770 ONF458768:ONF458770 ODJ458768:ODJ458770 NTN458768:NTN458770 NJR458768:NJR458770 MZV458768:MZV458770 MPZ458768:MPZ458770 MGD458768:MGD458770 LWH458768:LWH458770 LML458768:LML458770 LCP458768:LCP458770 KST458768:KST458770 KIX458768:KIX458770 JZB458768:JZB458770 JPF458768:JPF458770 JFJ458768:JFJ458770 IVN458768:IVN458770 ILR458768:ILR458770 IBV458768:IBV458770 HRZ458768:HRZ458770 HID458768:HID458770 GYH458768:GYH458770 GOL458768:GOL458770 GEP458768:GEP458770 FUT458768:FUT458770 FKX458768:FKX458770 FBB458768:FBB458770 ERF458768:ERF458770 EHJ458768:EHJ458770 DXN458768:DXN458770 DNR458768:DNR458770 DDV458768:DDV458770 CTZ458768:CTZ458770 CKD458768:CKD458770 CAH458768:CAH458770 BQL458768:BQL458770 BGP458768:BGP458770 AWT458768:AWT458770 AMX458768:AMX458770 ADB458768:ADB458770 TF458768:TF458770 JJ458768:JJ458770 N458768:N458770 WVV393232:WVV393234 WLZ393232:WLZ393234 WCD393232:WCD393234 VSH393232:VSH393234 VIL393232:VIL393234 UYP393232:UYP393234 UOT393232:UOT393234 UEX393232:UEX393234 TVB393232:TVB393234 TLF393232:TLF393234 TBJ393232:TBJ393234 SRN393232:SRN393234 SHR393232:SHR393234 RXV393232:RXV393234 RNZ393232:RNZ393234 RED393232:RED393234 QUH393232:QUH393234 QKL393232:QKL393234 QAP393232:QAP393234 PQT393232:PQT393234 PGX393232:PGX393234 OXB393232:OXB393234 ONF393232:ONF393234 ODJ393232:ODJ393234 NTN393232:NTN393234 NJR393232:NJR393234 MZV393232:MZV393234 MPZ393232:MPZ393234 MGD393232:MGD393234 LWH393232:LWH393234 LML393232:LML393234 LCP393232:LCP393234 KST393232:KST393234 KIX393232:KIX393234 JZB393232:JZB393234 JPF393232:JPF393234 JFJ393232:JFJ393234 IVN393232:IVN393234 ILR393232:ILR393234 IBV393232:IBV393234 HRZ393232:HRZ393234 HID393232:HID393234 GYH393232:GYH393234 GOL393232:GOL393234 GEP393232:GEP393234 FUT393232:FUT393234 FKX393232:FKX393234 FBB393232:FBB393234 ERF393232:ERF393234 EHJ393232:EHJ393234 DXN393232:DXN393234 DNR393232:DNR393234 DDV393232:DDV393234 CTZ393232:CTZ393234 CKD393232:CKD393234 CAH393232:CAH393234 BQL393232:BQL393234 BGP393232:BGP393234 AWT393232:AWT393234 AMX393232:AMX393234 ADB393232:ADB393234 TF393232:TF393234 JJ393232:JJ393234 N393232:N393234 WVV327696:WVV327698 WLZ327696:WLZ327698 WCD327696:WCD327698 VSH327696:VSH327698 VIL327696:VIL327698 UYP327696:UYP327698 UOT327696:UOT327698 UEX327696:UEX327698 TVB327696:TVB327698 TLF327696:TLF327698 TBJ327696:TBJ327698 SRN327696:SRN327698 SHR327696:SHR327698 RXV327696:RXV327698 RNZ327696:RNZ327698 RED327696:RED327698 QUH327696:QUH327698 QKL327696:QKL327698 QAP327696:QAP327698 PQT327696:PQT327698 PGX327696:PGX327698 OXB327696:OXB327698 ONF327696:ONF327698 ODJ327696:ODJ327698 NTN327696:NTN327698 NJR327696:NJR327698 MZV327696:MZV327698 MPZ327696:MPZ327698 MGD327696:MGD327698 LWH327696:LWH327698 LML327696:LML327698 LCP327696:LCP327698 KST327696:KST327698 KIX327696:KIX327698 JZB327696:JZB327698 JPF327696:JPF327698 JFJ327696:JFJ327698 IVN327696:IVN327698 ILR327696:ILR327698 IBV327696:IBV327698 HRZ327696:HRZ327698 HID327696:HID327698 GYH327696:GYH327698 GOL327696:GOL327698 GEP327696:GEP327698 FUT327696:FUT327698 FKX327696:FKX327698 FBB327696:FBB327698 ERF327696:ERF327698 EHJ327696:EHJ327698 DXN327696:DXN327698 DNR327696:DNR327698 DDV327696:DDV327698 CTZ327696:CTZ327698 CKD327696:CKD327698 CAH327696:CAH327698 BQL327696:BQL327698 BGP327696:BGP327698 AWT327696:AWT327698 AMX327696:AMX327698 ADB327696:ADB327698 TF327696:TF327698 JJ327696:JJ327698 N327696:N327698 WVV262160:WVV262162 WLZ262160:WLZ262162 WCD262160:WCD262162 VSH262160:VSH262162 VIL262160:VIL262162 UYP262160:UYP262162 UOT262160:UOT262162 UEX262160:UEX262162 TVB262160:TVB262162 TLF262160:TLF262162 TBJ262160:TBJ262162 SRN262160:SRN262162 SHR262160:SHR262162 RXV262160:RXV262162 RNZ262160:RNZ262162 RED262160:RED262162 QUH262160:QUH262162 QKL262160:QKL262162 QAP262160:QAP262162 PQT262160:PQT262162 PGX262160:PGX262162 OXB262160:OXB262162 ONF262160:ONF262162 ODJ262160:ODJ262162 NTN262160:NTN262162 NJR262160:NJR262162 MZV262160:MZV262162 MPZ262160:MPZ262162 MGD262160:MGD262162 LWH262160:LWH262162 LML262160:LML262162 LCP262160:LCP262162 KST262160:KST262162 KIX262160:KIX262162 JZB262160:JZB262162 JPF262160:JPF262162 JFJ262160:JFJ262162 IVN262160:IVN262162 ILR262160:ILR262162 IBV262160:IBV262162 HRZ262160:HRZ262162 HID262160:HID262162 GYH262160:GYH262162 GOL262160:GOL262162 GEP262160:GEP262162 FUT262160:FUT262162 FKX262160:FKX262162 FBB262160:FBB262162 ERF262160:ERF262162 EHJ262160:EHJ262162 DXN262160:DXN262162 DNR262160:DNR262162 DDV262160:DDV262162 CTZ262160:CTZ262162 CKD262160:CKD262162 CAH262160:CAH262162 BQL262160:BQL262162 BGP262160:BGP262162 AWT262160:AWT262162 AMX262160:AMX262162 ADB262160:ADB262162 TF262160:TF262162 JJ262160:JJ262162 N262160:N262162 WVV196624:WVV196626 WLZ196624:WLZ196626 WCD196624:WCD196626 VSH196624:VSH196626 VIL196624:VIL196626 UYP196624:UYP196626 UOT196624:UOT196626 UEX196624:UEX196626 TVB196624:TVB196626 TLF196624:TLF196626 TBJ196624:TBJ196626 SRN196624:SRN196626 SHR196624:SHR196626 RXV196624:RXV196626 RNZ196624:RNZ196626 RED196624:RED196626 QUH196624:QUH196626 QKL196624:QKL196626 QAP196624:QAP196626 PQT196624:PQT196626 PGX196624:PGX196626 OXB196624:OXB196626 ONF196624:ONF196626 ODJ196624:ODJ196626 NTN196624:NTN196626 NJR196624:NJR196626 MZV196624:MZV196626 MPZ196624:MPZ196626 MGD196624:MGD196626 LWH196624:LWH196626 LML196624:LML196626 LCP196624:LCP196626 KST196624:KST196626 KIX196624:KIX196626 JZB196624:JZB196626 JPF196624:JPF196626 JFJ196624:JFJ196626 IVN196624:IVN196626 ILR196624:ILR196626 IBV196624:IBV196626 HRZ196624:HRZ196626 HID196624:HID196626 GYH196624:GYH196626 GOL196624:GOL196626 GEP196624:GEP196626 FUT196624:FUT196626 FKX196624:FKX196626 FBB196624:FBB196626 ERF196624:ERF196626 EHJ196624:EHJ196626 DXN196624:DXN196626 DNR196624:DNR196626 DDV196624:DDV196626 CTZ196624:CTZ196626 CKD196624:CKD196626 CAH196624:CAH196626 BQL196624:BQL196626 BGP196624:BGP196626 AWT196624:AWT196626 AMX196624:AMX196626 ADB196624:ADB196626 TF196624:TF196626 JJ196624:JJ196626 N196624:N196626 WVV131088:WVV131090 WLZ131088:WLZ131090 WCD131088:WCD131090 VSH131088:VSH131090 VIL131088:VIL131090 UYP131088:UYP131090 UOT131088:UOT131090 UEX131088:UEX131090 TVB131088:TVB131090 TLF131088:TLF131090 TBJ131088:TBJ131090 SRN131088:SRN131090 SHR131088:SHR131090 RXV131088:RXV131090 RNZ131088:RNZ131090 RED131088:RED131090 QUH131088:QUH131090 QKL131088:QKL131090 QAP131088:QAP131090 PQT131088:PQT131090 PGX131088:PGX131090 OXB131088:OXB131090 ONF131088:ONF131090 ODJ131088:ODJ131090 NTN131088:NTN131090 NJR131088:NJR131090 MZV131088:MZV131090 MPZ131088:MPZ131090 MGD131088:MGD131090 LWH131088:LWH131090 LML131088:LML131090 LCP131088:LCP131090 KST131088:KST131090 KIX131088:KIX131090 JZB131088:JZB131090 JPF131088:JPF131090 JFJ131088:JFJ131090 IVN131088:IVN131090 ILR131088:ILR131090 IBV131088:IBV131090 HRZ131088:HRZ131090 HID131088:HID131090 GYH131088:GYH131090 GOL131088:GOL131090 GEP131088:GEP131090 FUT131088:FUT131090 FKX131088:FKX131090 FBB131088:FBB131090 ERF131088:ERF131090 EHJ131088:EHJ131090 DXN131088:DXN131090 DNR131088:DNR131090 DDV131088:DDV131090 CTZ131088:CTZ131090 CKD131088:CKD131090 CAH131088:CAH131090 BQL131088:BQL131090 BGP131088:BGP131090 AWT131088:AWT131090 AMX131088:AMX131090 ADB131088:ADB131090 TF131088:TF131090 JJ131088:JJ131090 N131088:N131090 WVV65552:WVV65554 WLZ65552:WLZ65554 WCD65552:WCD65554 VSH65552:VSH65554 VIL65552:VIL65554 UYP65552:UYP65554 UOT65552:UOT65554 UEX65552:UEX65554 TVB65552:TVB65554 TLF65552:TLF65554 TBJ65552:TBJ65554 SRN65552:SRN65554 SHR65552:SHR65554 RXV65552:RXV65554 RNZ65552:RNZ65554 RED65552:RED65554 QUH65552:QUH65554 QKL65552:QKL65554 QAP65552:QAP65554 PQT65552:PQT65554 PGX65552:PGX65554 OXB65552:OXB65554 ONF65552:ONF65554 ODJ65552:ODJ65554 NTN65552:NTN65554 NJR65552:NJR65554 MZV65552:MZV65554 MPZ65552:MPZ65554 MGD65552:MGD65554 LWH65552:LWH65554 LML65552:LML65554 LCP65552:LCP65554 KST65552:KST65554 KIX65552:KIX65554 JZB65552:JZB65554 JPF65552:JPF65554 JFJ65552:JFJ65554 IVN65552:IVN65554 ILR65552:ILR65554 IBV65552:IBV65554 HRZ65552:HRZ65554 HID65552:HID65554 GYH65552:GYH65554 GOL65552:GOL65554 GEP65552:GEP65554 FUT65552:FUT65554 FKX65552:FKX65554 FBB65552:FBB65554 ERF65552:ERF65554 EHJ65552:EHJ65554 DXN65552:DXN65554 DNR65552:DNR65554 DDV65552:DDV65554 CTZ65552:CTZ65554 CKD65552:CKD65554 CAH65552:CAH65554 BQL65552:BQL65554 BGP65552:BGP65554 AWT65552:AWT65554 AMX65552:AMX65554 ADB65552:ADB65554 TF65552:TF65554 N31:N32" xr:uid="{00000000-0002-0000-0600-000005000000}">
      <formula1>$L$17:$L$21</formula1>
    </dataValidation>
    <dataValidation type="list" allowBlank="1" showInputMessage="1" showErrorMessage="1" sqref="C30:C31 M30" xr:uid="{00000000-0002-0000-0600-000006000000}">
      <formula1>$D$17:$D$21</formula1>
    </dataValidation>
    <dataValidation type="decimal" operator="greaterThan" allowBlank="1" showInputMessage="1" showErrorMessage="1" sqref="C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C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C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C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C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C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C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C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C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C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C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C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C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C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C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xr:uid="{00000000-0002-0000-0600-000007000000}">
      <formula1>0</formula1>
    </dataValidation>
    <dataValidation type="list" allowBlank="1" showInputMessage="1" showErrorMessage="1" sqref="WVM983056 JA30:JA32 SW30:SW32 ACS30:ACS32 AMO30:AMO32 AWK30:AWK32 BGG30:BGG32 BQC30:BQC32 BZY30:BZY32 CJU30:CJU32 CTQ30:CTQ32 DDM30:DDM32 DNI30:DNI32 DXE30:DXE32 EHA30:EHA32 EQW30:EQW32 FAS30:FAS32 FKO30:FKO32 FUK30:FUK32 GEG30:GEG32 GOC30:GOC32 GXY30:GXY32 HHU30:HHU32 HRQ30:HRQ32 IBM30:IBM32 ILI30:ILI32 IVE30:IVE32 JFA30:JFA32 JOW30:JOW32 JYS30:JYS32 KIO30:KIO32 KSK30:KSK32 LCG30:LCG32 LMC30:LMC32 LVY30:LVY32 MFU30:MFU32 MPQ30:MPQ32 MZM30:MZM32 NJI30:NJI32 NTE30:NTE32 ODA30:ODA32 OMW30:OMW32 OWS30:OWS32 PGO30:PGO32 PQK30:PQK32 QAG30:QAG32 QKC30:QKC32 QTY30:QTY32 RDU30:RDU32 RNQ30:RNQ32 RXM30:RXM32 SHI30:SHI32 SRE30:SRE32 TBA30:TBA32 TKW30:TKW32 TUS30:TUS32 UEO30:UEO32 UOK30:UOK32 UYG30:UYG32 VIC30:VIC32 VRY30:VRY32 WBU30:WBU32 WLQ30:WLQ32 WVM30:WVM32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E30:E31 O30" xr:uid="{00000000-0002-0000-0600-000008000000}">
      <formula1>$H$17:$H$20</formula1>
    </dataValidation>
  </dataValidations>
  <pageMargins left="0.7" right="0.7" top="0.75" bottom="0.75" header="0.3" footer="0.3"/>
  <ignoredErrors>
    <ignoredError sqref="D7:F7 D5:I5 D6:F6 H6:I6 H7:I7" unlocked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FF00"/>
  </sheetPr>
  <dimension ref="A1:M1320"/>
  <sheetViews>
    <sheetView topLeftCell="B1" zoomScale="70" zoomScaleNormal="70" workbookViewId="0">
      <selection activeCell="L1" sqref="L1"/>
    </sheetView>
  </sheetViews>
  <sheetFormatPr baseColWidth="10" defaultColWidth="11.42578125" defaultRowHeight="15" x14ac:dyDescent="0.25"/>
  <cols>
    <col min="1" max="1" width="37.28515625" style="434" customWidth="1"/>
    <col min="2" max="2" width="40.42578125" style="434" customWidth="1"/>
    <col min="3" max="3" width="37.28515625" style="434" customWidth="1"/>
    <col min="4" max="4" width="33.28515625" style="434" customWidth="1"/>
    <col min="5" max="5" width="26.7109375" style="434" customWidth="1"/>
    <col min="6" max="6" width="29.140625" style="434" customWidth="1"/>
    <col min="7" max="7" width="49.7109375" style="434" customWidth="1"/>
    <col min="8" max="8" width="33.140625" style="436" customWidth="1"/>
    <col min="9" max="9" width="33" style="436" customWidth="1"/>
    <col min="10" max="11" width="29" style="434" customWidth="1"/>
    <col min="12" max="12" width="22.7109375" style="434" customWidth="1"/>
    <col min="13" max="14" width="11.42578125" style="434"/>
    <col min="15" max="15" width="16.42578125" style="434" customWidth="1"/>
    <col min="16" max="256" width="11.42578125" style="434"/>
    <col min="257" max="257" width="37.28515625" style="434" customWidth="1"/>
    <col min="258" max="258" width="39.42578125" style="434" customWidth="1"/>
    <col min="259" max="259" width="35.140625" style="434" customWidth="1"/>
    <col min="260" max="260" width="28" style="434" customWidth="1"/>
    <col min="261" max="261" width="26.7109375" style="434" customWidth="1"/>
    <col min="262" max="262" width="23.7109375" style="434" customWidth="1"/>
    <col min="263" max="263" width="30.7109375" style="434" bestFit="1" customWidth="1"/>
    <col min="264" max="264" width="24.140625" style="434" customWidth="1"/>
    <col min="265" max="265" width="30.42578125" style="434" customWidth="1"/>
    <col min="266" max="267" width="29" style="434" customWidth="1"/>
    <col min="268" max="268" width="22.7109375" style="434" customWidth="1"/>
    <col min="269" max="270" width="11.42578125" style="434"/>
    <col min="271" max="271" width="16.42578125" style="434" customWidth="1"/>
    <col min="272" max="512" width="11.42578125" style="434"/>
    <col min="513" max="513" width="37.28515625" style="434" customWidth="1"/>
    <col min="514" max="514" width="39.42578125" style="434" customWidth="1"/>
    <col min="515" max="515" width="35.140625" style="434" customWidth="1"/>
    <col min="516" max="516" width="28" style="434" customWidth="1"/>
    <col min="517" max="517" width="26.7109375" style="434" customWidth="1"/>
    <col min="518" max="518" width="23.7109375" style="434" customWidth="1"/>
    <col min="519" max="519" width="30.7109375" style="434" bestFit="1" customWidth="1"/>
    <col min="520" max="520" width="24.140625" style="434" customWidth="1"/>
    <col min="521" max="521" width="30.42578125" style="434" customWidth="1"/>
    <col min="522" max="523" width="29" style="434" customWidth="1"/>
    <col min="524" max="524" width="22.7109375" style="434" customWidth="1"/>
    <col min="525" max="526" width="11.42578125" style="434"/>
    <col min="527" max="527" width="16.42578125" style="434" customWidth="1"/>
    <col min="528" max="768" width="11.42578125" style="434"/>
    <col min="769" max="769" width="37.28515625" style="434" customWidth="1"/>
    <col min="770" max="770" width="39.42578125" style="434" customWidth="1"/>
    <col min="771" max="771" width="35.140625" style="434" customWidth="1"/>
    <col min="772" max="772" width="28" style="434" customWidth="1"/>
    <col min="773" max="773" width="26.7109375" style="434" customWidth="1"/>
    <col min="774" max="774" width="23.7109375" style="434" customWidth="1"/>
    <col min="775" max="775" width="30.7109375" style="434" bestFit="1" customWidth="1"/>
    <col min="776" max="776" width="24.140625" style="434" customWidth="1"/>
    <col min="777" max="777" width="30.42578125" style="434" customWidth="1"/>
    <col min="778" max="779" width="29" style="434" customWidth="1"/>
    <col min="780" max="780" width="22.7109375" style="434" customWidth="1"/>
    <col min="781" max="782" width="11.42578125" style="434"/>
    <col min="783" max="783" width="16.42578125" style="434" customWidth="1"/>
    <col min="784" max="1024" width="11.42578125" style="434"/>
    <col min="1025" max="1025" width="37.28515625" style="434" customWidth="1"/>
    <col min="1026" max="1026" width="39.42578125" style="434" customWidth="1"/>
    <col min="1027" max="1027" width="35.140625" style="434" customWidth="1"/>
    <col min="1028" max="1028" width="28" style="434" customWidth="1"/>
    <col min="1029" max="1029" width="26.7109375" style="434" customWidth="1"/>
    <col min="1030" max="1030" width="23.7109375" style="434" customWidth="1"/>
    <col min="1031" max="1031" width="30.7109375" style="434" bestFit="1" customWidth="1"/>
    <col min="1032" max="1032" width="24.140625" style="434" customWidth="1"/>
    <col min="1033" max="1033" width="30.42578125" style="434" customWidth="1"/>
    <col min="1034" max="1035" width="29" style="434" customWidth="1"/>
    <col min="1036" max="1036" width="22.7109375" style="434" customWidth="1"/>
    <col min="1037" max="1038" width="11.42578125" style="434"/>
    <col min="1039" max="1039" width="16.42578125" style="434" customWidth="1"/>
    <col min="1040" max="1280" width="11.42578125" style="434"/>
    <col min="1281" max="1281" width="37.28515625" style="434" customWidth="1"/>
    <col min="1282" max="1282" width="39.42578125" style="434" customWidth="1"/>
    <col min="1283" max="1283" width="35.140625" style="434" customWidth="1"/>
    <col min="1284" max="1284" width="28" style="434" customWidth="1"/>
    <col min="1285" max="1285" width="26.7109375" style="434" customWidth="1"/>
    <col min="1286" max="1286" width="23.7109375" style="434" customWidth="1"/>
    <col min="1287" max="1287" width="30.7109375" style="434" bestFit="1" customWidth="1"/>
    <col min="1288" max="1288" width="24.140625" style="434" customWidth="1"/>
    <col min="1289" max="1289" width="30.42578125" style="434" customWidth="1"/>
    <col min="1290" max="1291" width="29" style="434" customWidth="1"/>
    <col min="1292" max="1292" width="22.7109375" style="434" customWidth="1"/>
    <col min="1293" max="1294" width="11.42578125" style="434"/>
    <col min="1295" max="1295" width="16.42578125" style="434" customWidth="1"/>
    <col min="1296" max="1536" width="11.42578125" style="434"/>
    <col min="1537" max="1537" width="37.28515625" style="434" customWidth="1"/>
    <col min="1538" max="1538" width="39.42578125" style="434" customWidth="1"/>
    <col min="1539" max="1539" width="35.140625" style="434" customWidth="1"/>
    <col min="1540" max="1540" width="28" style="434" customWidth="1"/>
    <col min="1541" max="1541" width="26.7109375" style="434" customWidth="1"/>
    <col min="1542" max="1542" width="23.7109375" style="434" customWidth="1"/>
    <col min="1543" max="1543" width="30.7109375" style="434" bestFit="1" customWidth="1"/>
    <col min="1544" max="1544" width="24.140625" style="434" customWidth="1"/>
    <col min="1545" max="1545" width="30.42578125" style="434" customWidth="1"/>
    <col min="1546" max="1547" width="29" style="434" customWidth="1"/>
    <col min="1548" max="1548" width="22.7109375" style="434" customWidth="1"/>
    <col min="1549" max="1550" width="11.42578125" style="434"/>
    <col min="1551" max="1551" width="16.42578125" style="434" customWidth="1"/>
    <col min="1552" max="1792" width="11.42578125" style="434"/>
    <col min="1793" max="1793" width="37.28515625" style="434" customWidth="1"/>
    <col min="1794" max="1794" width="39.42578125" style="434" customWidth="1"/>
    <col min="1795" max="1795" width="35.140625" style="434" customWidth="1"/>
    <col min="1796" max="1796" width="28" style="434" customWidth="1"/>
    <col min="1797" max="1797" width="26.7109375" style="434" customWidth="1"/>
    <col min="1798" max="1798" width="23.7109375" style="434" customWidth="1"/>
    <col min="1799" max="1799" width="30.7109375" style="434" bestFit="1" customWidth="1"/>
    <col min="1800" max="1800" width="24.140625" style="434" customWidth="1"/>
    <col min="1801" max="1801" width="30.42578125" style="434" customWidth="1"/>
    <col min="1802" max="1803" width="29" style="434" customWidth="1"/>
    <col min="1804" max="1804" width="22.7109375" style="434" customWidth="1"/>
    <col min="1805" max="1806" width="11.42578125" style="434"/>
    <col min="1807" max="1807" width="16.42578125" style="434" customWidth="1"/>
    <col min="1808" max="2048" width="11.42578125" style="434"/>
    <col min="2049" max="2049" width="37.28515625" style="434" customWidth="1"/>
    <col min="2050" max="2050" width="39.42578125" style="434" customWidth="1"/>
    <col min="2051" max="2051" width="35.140625" style="434" customWidth="1"/>
    <col min="2052" max="2052" width="28" style="434" customWidth="1"/>
    <col min="2053" max="2053" width="26.7109375" style="434" customWidth="1"/>
    <col min="2054" max="2054" width="23.7109375" style="434" customWidth="1"/>
    <col min="2055" max="2055" width="30.7109375" style="434" bestFit="1" customWidth="1"/>
    <col min="2056" max="2056" width="24.140625" style="434" customWidth="1"/>
    <col min="2057" max="2057" width="30.42578125" style="434" customWidth="1"/>
    <col min="2058" max="2059" width="29" style="434" customWidth="1"/>
    <col min="2060" max="2060" width="22.7109375" style="434" customWidth="1"/>
    <col min="2061" max="2062" width="11.42578125" style="434"/>
    <col min="2063" max="2063" width="16.42578125" style="434" customWidth="1"/>
    <col min="2064" max="2304" width="11.42578125" style="434"/>
    <col min="2305" max="2305" width="37.28515625" style="434" customWidth="1"/>
    <col min="2306" max="2306" width="39.42578125" style="434" customWidth="1"/>
    <col min="2307" max="2307" width="35.140625" style="434" customWidth="1"/>
    <col min="2308" max="2308" width="28" style="434" customWidth="1"/>
    <col min="2309" max="2309" width="26.7109375" style="434" customWidth="1"/>
    <col min="2310" max="2310" width="23.7109375" style="434" customWidth="1"/>
    <col min="2311" max="2311" width="30.7109375" style="434" bestFit="1" customWidth="1"/>
    <col min="2312" max="2312" width="24.140625" style="434" customWidth="1"/>
    <col min="2313" max="2313" width="30.42578125" style="434" customWidth="1"/>
    <col min="2314" max="2315" width="29" style="434" customWidth="1"/>
    <col min="2316" max="2316" width="22.7109375" style="434" customWidth="1"/>
    <col min="2317" max="2318" width="11.42578125" style="434"/>
    <col min="2319" max="2319" width="16.42578125" style="434" customWidth="1"/>
    <col min="2320" max="2560" width="11.42578125" style="434"/>
    <col min="2561" max="2561" width="37.28515625" style="434" customWidth="1"/>
    <col min="2562" max="2562" width="39.42578125" style="434" customWidth="1"/>
    <col min="2563" max="2563" width="35.140625" style="434" customWidth="1"/>
    <col min="2564" max="2564" width="28" style="434" customWidth="1"/>
    <col min="2565" max="2565" width="26.7109375" style="434" customWidth="1"/>
    <col min="2566" max="2566" width="23.7109375" style="434" customWidth="1"/>
    <col min="2567" max="2567" width="30.7109375" style="434" bestFit="1" customWidth="1"/>
    <col min="2568" max="2568" width="24.140625" style="434" customWidth="1"/>
    <col min="2569" max="2569" width="30.42578125" style="434" customWidth="1"/>
    <col min="2570" max="2571" width="29" style="434" customWidth="1"/>
    <col min="2572" max="2572" width="22.7109375" style="434" customWidth="1"/>
    <col min="2573" max="2574" width="11.42578125" style="434"/>
    <col min="2575" max="2575" width="16.42578125" style="434" customWidth="1"/>
    <col min="2576" max="2816" width="11.42578125" style="434"/>
    <col min="2817" max="2817" width="37.28515625" style="434" customWidth="1"/>
    <col min="2818" max="2818" width="39.42578125" style="434" customWidth="1"/>
    <col min="2819" max="2819" width="35.140625" style="434" customWidth="1"/>
    <col min="2820" max="2820" width="28" style="434" customWidth="1"/>
    <col min="2821" max="2821" width="26.7109375" style="434" customWidth="1"/>
    <col min="2822" max="2822" width="23.7109375" style="434" customWidth="1"/>
    <col min="2823" max="2823" width="30.7109375" style="434" bestFit="1" customWidth="1"/>
    <col min="2824" max="2824" width="24.140625" style="434" customWidth="1"/>
    <col min="2825" max="2825" width="30.42578125" style="434" customWidth="1"/>
    <col min="2826" max="2827" width="29" style="434" customWidth="1"/>
    <col min="2828" max="2828" width="22.7109375" style="434" customWidth="1"/>
    <col min="2829" max="2830" width="11.42578125" style="434"/>
    <col min="2831" max="2831" width="16.42578125" style="434" customWidth="1"/>
    <col min="2832" max="3072" width="11.42578125" style="434"/>
    <col min="3073" max="3073" width="37.28515625" style="434" customWidth="1"/>
    <col min="3074" max="3074" width="39.42578125" style="434" customWidth="1"/>
    <col min="3075" max="3075" width="35.140625" style="434" customWidth="1"/>
    <col min="3076" max="3076" width="28" style="434" customWidth="1"/>
    <col min="3077" max="3077" width="26.7109375" style="434" customWidth="1"/>
    <col min="3078" max="3078" width="23.7109375" style="434" customWidth="1"/>
    <col min="3079" max="3079" width="30.7109375" style="434" bestFit="1" customWidth="1"/>
    <col min="3080" max="3080" width="24.140625" style="434" customWidth="1"/>
    <col min="3081" max="3081" width="30.42578125" style="434" customWidth="1"/>
    <col min="3082" max="3083" width="29" style="434" customWidth="1"/>
    <col min="3084" max="3084" width="22.7109375" style="434" customWidth="1"/>
    <col min="3085" max="3086" width="11.42578125" style="434"/>
    <col min="3087" max="3087" width="16.42578125" style="434" customWidth="1"/>
    <col min="3088" max="3328" width="11.42578125" style="434"/>
    <col min="3329" max="3329" width="37.28515625" style="434" customWidth="1"/>
    <col min="3330" max="3330" width="39.42578125" style="434" customWidth="1"/>
    <col min="3331" max="3331" width="35.140625" style="434" customWidth="1"/>
    <col min="3332" max="3332" width="28" style="434" customWidth="1"/>
    <col min="3333" max="3333" width="26.7109375" style="434" customWidth="1"/>
    <col min="3334" max="3334" width="23.7109375" style="434" customWidth="1"/>
    <col min="3335" max="3335" width="30.7109375" style="434" bestFit="1" customWidth="1"/>
    <col min="3336" max="3336" width="24.140625" style="434" customWidth="1"/>
    <col min="3337" max="3337" width="30.42578125" style="434" customWidth="1"/>
    <col min="3338" max="3339" width="29" style="434" customWidth="1"/>
    <col min="3340" max="3340" width="22.7109375" style="434" customWidth="1"/>
    <col min="3341" max="3342" width="11.42578125" style="434"/>
    <col min="3343" max="3343" width="16.42578125" style="434" customWidth="1"/>
    <col min="3344" max="3584" width="11.42578125" style="434"/>
    <col min="3585" max="3585" width="37.28515625" style="434" customWidth="1"/>
    <col min="3586" max="3586" width="39.42578125" style="434" customWidth="1"/>
    <col min="3587" max="3587" width="35.140625" style="434" customWidth="1"/>
    <col min="3588" max="3588" width="28" style="434" customWidth="1"/>
    <col min="3589" max="3589" width="26.7109375" style="434" customWidth="1"/>
    <col min="3590" max="3590" width="23.7109375" style="434" customWidth="1"/>
    <col min="3591" max="3591" width="30.7109375" style="434" bestFit="1" customWidth="1"/>
    <col min="3592" max="3592" width="24.140625" style="434" customWidth="1"/>
    <col min="3593" max="3593" width="30.42578125" style="434" customWidth="1"/>
    <col min="3594" max="3595" width="29" style="434" customWidth="1"/>
    <col min="3596" max="3596" width="22.7109375" style="434" customWidth="1"/>
    <col min="3597" max="3598" width="11.42578125" style="434"/>
    <col min="3599" max="3599" width="16.42578125" style="434" customWidth="1"/>
    <col min="3600" max="3840" width="11.42578125" style="434"/>
    <col min="3841" max="3841" width="37.28515625" style="434" customWidth="1"/>
    <col min="3842" max="3842" width="39.42578125" style="434" customWidth="1"/>
    <col min="3843" max="3843" width="35.140625" style="434" customWidth="1"/>
    <col min="3844" max="3844" width="28" style="434" customWidth="1"/>
    <col min="3845" max="3845" width="26.7109375" style="434" customWidth="1"/>
    <col min="3846" max="3846" width="23.7109375" style="434" customWidth="1"/>
    <col min="3847" max="3847" width="30.7109375" style="434" bestFit="1" customWidth="1"/>
    <col min="3848" max="3848" width="24.140625" style="434" customWidth="1"/>
    <col min="3849" max="3849" width="30.42578125" style="434" customWidth="1"/>
    <col min="3850" max="3851" width="29" style="434" customWidth="1"/>
    <col min="3852" max="3852" width="22.7109375" style="434" customWidth="1"/>
    <col min="3853" max="3854" width="11.42578125" style="434"/>
    <col min="3855" max="3855" width="16.42578125" style="434" customWidth="1"/>
    <col min="3856" max="4096" width="11.42578125" style="434"/>
    <col min="4097" max="4097" width="37.28515625" style="434" customWidth="1"/>
    <col min="4098" max="4098" width="39.42578125" style="434" customWidth="1"/>
    <col min="4099" max="4099" width="35.140625" style="434" customWidth="1"/>
    <col min="4100" max="4100" width="28" style="434" customWidth="1"/>
    <col min="4101" max="4101" width="26.7109375" style="434" customWidth="1"/>
    <col min="4102" max="4102" width="23.7109375" style="434" customWidth="1"/>
    <col min="4103" max="4103" width="30.7109375" style="434" bestFit="1" customWidth="1"/>
    <col min="4104" max="4104" width="24.140625" style="434" customWidth="1"/>
    <col min="4105" max="4105" width="30.42578125" style="434" customWidth="1"/>
    <col min="4106" max="4107" width="29" style="434" customWidth="1"/>
    <col min="4108" max="4108" width="22.7109375" style="434" customWidth="1"/>
    <col min="4109" max="4110" width="11.42578125" style="434"/>
    <col min="4111" max="4111" width="16.42578125" style="434" customWidth="1"/>
    <col min="4112" max="4352" width="11.42578125" style="434"/>
    <col min="4353" max="4353" width="37.28515625" style="434" customWidth="1"/>
    <col min="4354" max="4354" width="39.42578125" style="434" customWidth="1"/>
    <col min="4355" max="4355" width="35.140625" style="434" customWidth="1"/>
    <col min="4356" max="4356" width="28" style="434" customWidth="1"/>
    <col min="4357" max="4357" width="26.7109375" style="434" customWidth="1"/>
    <col min="4358" max="4358" width="23.7109375" style="434" customWidth="1"/>
    <col min="4359" max="4359" width="30.7109375" style="434" bestFit="1" customWidth="1"/>
    <col min="4360" max="4360" width="24.140625" style="434" customWidth="1"/>
    <col min="4361" max="4361" width="30.42578125" style="434" customWidth="1"/>
    <col min="4362" max="4363" width="29" style="434" customWidth="1"/>
    <col min="4364" max="4364" width="22.7109375" style="434" customWidth="1"/>
    <col min="4365" max="4366" width="11.42578125" style="434"/>
    <col min="4367" max="4367" width="16.42578125" style="434" customWidth="1"/>
    <col min="4368" max="4608" width="11.42578125" style="434"/>
    <col min="4609" max="4609" width="37.28515625" style="434" customWidth="1"/>
    <col min="4610" max="4610" width="39.42578125" style="434" customWidth="1"/>
    <col min="4611" max="4611" width="35.140625" style="434" customWidth="1"/>
    <col min="4612" max="4612" width="28" style="434" customWidth="1"/>
    <col min="4613" max="4613" width="26.7109375" style="434" customWidth="1"/>
    <col min="4614" max="4614" width="23.7109375" style="434" customWidth="1"/>
    <col min="4615" max="4615" width="30.7109375" style="434" bestFit="1" customWidth="1"/>
    <col min="4616" max="4616" width="24.140625" style="434" customWidth="1"/>
    <col min="4617" max="4617" width="30.42578125" style="434" customWidth="1"/>
    <col min="4618" max="4619" width="29" style="434" customWidth="1"/>
    <col min="4620" max="4620" width="22.7109375" style="434" customWidth="1"/>
    <col min="4621" max="4622" width="11.42578125" style="434"/>
    <col min="4623" max="4623" width="16.42578125" style="434" customWidth="1"/>
    <col min="4624" max="4864" width="11.42578125" style="434"/>
    <col min="4865" max="4865" width="37.28515625" style="434" customWidth="1"/>
    <col min="4866" max="4866" width="39.42578125" style="434" customWidth="1"/>
    <col min="4867" max="4867" width="35.140625" style="434" customWidth="1"/>
    <col min="4868" max="4868" width="28" style="434" customWidth="1"/>
    <col min="4869" max="4869" width="26.7109375" style="434" customWidth="1"/>
    <col min="4870" max="4870" width="23.7109375" style="434" customWidth="1"/>
    <col min="4871" max="4871" width="30.7109375" style="434" bestFit="1" customWidth="1"/>
    <col min="4872" max="4872" width="24.140625" style="434" customWidth="1"/>
    <col min="4873" max="4873" width="30.42578125" style="434" customWidth="1"/>
    <col min="4874" max="4875" width="29" style="434" customWidth="1"/>
    <col min="4876" max="4876" width="22.7109375" style="434" customWidth="1"/>
    <col min="4877" max="4878" width="11.42578125" style="434"/>
    <col min="4879" max="4879" width="16.42578125" style="434" customWidth="1"/>
    <col min="4880" max="5120" width="11.42578125" style="434"/>
    <col min="5121" max="5121" width="37.28515625" style="434" customWidth="1"/>
    <col min="5122" max="5122" width="39.42578125" style="434" customWidth="1"/>
    <col min="5123" max="5123" width="35.140625" style="434" customWidth="1"/>
    <col min="5124" max="5124" width="28" style="434" customWidth="1"/>
    <col min="5125" max="5125" width="26.7109375" style="434" customWidth="1"/>
    <col min="5126" max="5126" width="23.7109375" style="434" customWidth="1"/>
    <col min="5127" max="5127" width="30.7109375" style="434" bestFit="1" customWidth="1"/>
    <col min="5128" max="5128" width="24.140625" style="434" customWidth="1"/>
    <col min="5129" max="5129" width="30.42578125" style="434" customWidth="1"/>
    <col min="5130" max="5131" width="29" style="434" customWidth="1"/>
    <col min="5132" max="5132" width="22.7109375" style="434" customWidth="1"/>
    <col min="5133" max="5134" width="11.42578125" style="434"/>
    <col min="5135" max="5135" width="16.42578125" style="434" customWidth="1"/>
    <col min="5136" max="5376" width="11.42578125" style="434"/>
    <col min="5377" max="5377" width="37.28515625" style="434" customWidth="1"/>
    <col min="5378" max="5378" width="39.42578125" style="434" customWidth="1"/>
    <col min="5379" max="5379" width="35.140625" style="434" customWidth="1"/>
    <col min="5380" max="5380" width="28" style="434" customWidth="1"/>
    <col min="5381" max="5381" width="26.7109375" style="434" customWidth="1"/>
    <col min="5382" max="5382" width="23.7109375" style="434" customWidth="1"/>
    <col min="5383" max="5383" width="30.7109375" style="434" bestFit="1" customWidth="1"/>
    <col min="5384" max="5384" width="24.140625" style="434" customWidth="1"/>
    <col min="5385" max="5385" width="30.42578125" style="434" customWidth="1"/>
    <col min="5386" max="5387" width="29" style="434" customWidth="1"/>
    <col min="5388" max="5388" width="22.7109375" style="434" customWidth="1"/>
    <col min="5389" max="5390" width="11.42578125" style="434"/>
    <col min="5391" max="5391" width="16.42578125" style="434" customWidth="1"/>
    <col min="5392" max="5632" width="11.42578125" style="434"/>
    <col min="5633" max="5633" width="37.28515625" style="434" customWidth="1"/>
    <col min="5634" max="5634" width="39.42578125" style="434" customWidth="1"/>
    <col min="5635" max="5635" width="35.140625" style="434" customWidth="1"/>
    <col min="5636" max="5636" width="28" style="434" customWidth="1"/>
    <col min="5637" max="5637" width="26.7109375" style="434" customWidth="1"/>
    <col min="5638" max="5638" width="23.7109375" style="434" customWidth="1"/>
    <col min="5639" max="5639" width="30.7109375" style="434" bestFit="1" customWidth="1"/>
    <col min="5640" max="5640" width="24.140625" style="434" customWidth="1"/>
    <col min="5641" max="5641" width="30.42578125" style="434" customWidth="1"/>
    <col min="5642" max="5643" width="29" style="434" customWidth="1"/>
    <col min="5644" max="5644" width="22.7109375" style="434" customWidth="1"/>
    <col min="5645" max="5646" width="11.42578125" style="434"/>
    <col min="5647" max="5647" width="16.42578125" style="434" customWidth="1"/>
    <col min="5648" max="5888" width="11.42578125" style="434"/>
    <col min="5889" max="5889" width="37.28515625" style="434" customWidth="1"/>
    <col min="5890" max="5890" width="39.42578125" style="434" customWidth="1"/>
    <col min="5891" max="5891" width="35.140625" style="434" customWidth="1"/>
    <col min="5892" max="5892" width="28" style="434" customWidth="1"/>
    <col min="5893" max="5893" width="26.7109375" style="434" customWidth="1"/>
    <col min="5894" max="5894" width="23.7109375" style="434" customWidth="1"/>
    <col min="5895" max="5895" width="30.7109375" style="434" bestFit="1" customWidth="1"/>
    <col min="5896" max="5896" width="24.140625" style="434" customWidth="1"/>
    <col min="5897" max="5897" width="30.42578125" style="434" customWidth="1"/>
    <col min="5898" max="5899" width="29" style="434" customWidth="1"/>
    <col min="5900" max="5900" width="22.7109375" style="434" customWidth="1"/>
    <col min="5901" max="5902" width="11.42578125" style="434"/>
    <col min="5903" max="5903" width="16.42578125" style="434" customWidth="1"/>
    <col min="5904" max="6144" width="11.42578125" style="434"/>
    <col min="6145" max="6145" width="37.28515625" style="434" customWidth="1"/>
    <col min="6146" max="6146" width="39.42578125" style="434" customWidth="1"/>
    <col min="6147" max="6147" width="35.140625" style="434" customWidth="1"/>
    <col min="6148" max="6148" width="28" style="434" customWidth="1"/>
    <col min="6149" max="6149" width="26.7109375" style="434" customWidth="1"/>
    <col min="6150" max="6150" width="23.7109375" style="434" customWidth="1"/>
    <col min="6151" max="6151" width="30.7109375" style="434" bestFit="1" customWidth="1"/>
    <col min="6152" max="6152" width="24.140625" style="434" customWidth="1"/>
    <col min="6153" max="6153" width="30.42578125" style="434" customWidth="1"/>
    <col min="6154" max="6155" width="29" style="434" customWidth="1"/>
    <col min="6156" max="6156" width="22.7109375" style="434" customWidth="1"/>
    <col min="6157" max="6158" width="11.42578125" style="434"/>
    <col min="6159" max="6159" width="16.42578125" style="434" customWidth="1"/>
    <col min="6160" max="6400" width="11.42578125" style="434"/>
    <col min="6401" max="6401" width="37.28515625" style="434" customWidth="1"/>
    <col min="6402" max="6402" width="39.42578125" style="434" customWidth="1"/>
    <col min="6403" max="6403" width="35.140625" style="434" customWidth="1"/>
    <col min="6404" max="6404" width="28" style="434" customWidth="1"/>
    <col min="6405" max="6405" width="26.7109375" style="434" customWidth="1"/>
    <col min="6406" max="6406" width="23.7109375" style="434" customWidth="1"/>
    <col min="6407" max="6407" width="30.7109375" style="434" bestFit="1" customWidth="1"/>
    <col min="6408" max="6408" width="24.140625" style="434" customWidth="1"/>
    <col min="6409" max="6409" width="30.42578125" style="434" customWidth="1"/>
    <col min="6410" max="6411" width="29" style="434" customWidth="1"/>
    <col min="6412" max="6412" width="22.7109375" style="434" customWidth="1"/>
    <col min="6413" max="6414" width="11.42578125" style="434"/>
    <col min="6415" max="6415" width="16.42578125" style="434" customWidth="1"/>
    <col min="6416" max="6656" width="11.42578125" style="434"/>
    <col min="6657" max="6657" width="37.28515625" style="434" customWidth="1"/>
    <col min="6658" max="6658" width="39.42578125" style="434" customWidth="1"/>
    <col min="6659" max="6659" width="35.140625" style="434" customWidth="1"/>
    <col min="6660" max="6660" width="28" style="434" customWidth="1"/>
    <col min="6661" max="6661" width="26.7109375" style="434" customWidth="1"/>
    <col min="6662" max="6662" width="23.7109375" style="434" customWidth="1"/>
    <col min="6663" max="6663" width="30.7109375" style="434" bestFit="1" customWidth="1"/>
    <col min="6664" max="6664" width="24.140625" style="434" customWidth="1"/>
    <col min="6665" max="6665" width="30.42578125" style="434" customWidth="1"/>
    <col min="6666" max="6667" width="29" style="434" customWidth="1"/>
    <col min="6668" max="6668" width="22.7109375" style="434" customWidth="1"/>
    <col min="6669" max="6670" width="11.42578125" style="434"/>
    <col min="6671" max="6671" width="16.42578125" style="434" customWidth="1"/>
    <col min="6672" max="6912" width="11.42578125" style="434"/>
    <col min="6913" max="6913" width="37.28515625" style="434" customWidth="1"/>
    <col min="6914" max="6914" width="39.42578125" style="434" customWidth="1"/>
    <col min="6915" max="6915" width="35.140625" style="434" customWidth="1"/>
    <col min="6916" max="6916" width="28" style="434" customWidth="1"/>
    <col min="6917" max="6917" width="26.7109375" style="434" customWidth="1"/>
    <col min="6918" max="6918" width="23.7109375" style="434" customWidth="1"/>
    <col min="6919" max="6919" width="30.7109375" style="434" bestFit="1" customWidth="1"/>
    <col min="6920" max="6920" width="24.140625" style="434" customWidth="1"/>
    <col min="6921" max="6921" width="30.42578125" style="434" customWidth="1"/>
    <col min="6922" max="6923" width="29" style="434" customWidth="1"/>
    <col min="6924" max="6924" width="22.7109375" style="434" customWidth="1"/>
    <col min="6925" max="6926" width="11.42578125" style="434"/>
    <col min="6927" max="6927" width="16.42578125" style="434" customWidth="1"/>
    <col min="6928" max="7168" width="11.42578125" style="434"/>
    <col min="7169" max="7169" width="37.28515625" style="434" customWidth="1"/>
    <col min="7170" max="7170" width="39.42578125" style="434" customWidth="1"/>
    <col min="7171" max="7171" width="35.140625" style="434" customWidth="1"/>
    <col min="7172" max="7172" width="28" style="434" customWidth="1"/>
    <col min="7173" max="7173" width="26.7109375" style="434" customWidth="1"/>
    <col min="7174" max="7174" width="23.7109375" style="434" customWidth="1"/>
    <col min="7175" max="7175" width="30.7109375" style="434" bestFit="1" customWidth="1"/>
    <col min="7176" max="7176" width="24.140625" style="434" customWidth="1"/>
    <col min="7177" max="7177" width="30.42578125" style="434" customWidth="1"/>
    <col min="7178" max="7179" width="29" style="434" customWidth="1"/>
    <col min="7180" max="7180" width="22.7109375" style="434" customWidth="1"/>
    <col min="7181" max="7182" width="11.42578125" style="434"/>
    <col min="7183" max="7183" width="16.42578125" style="434" customWidth="1"/>
    <col min="7184" max="7424" width="11.42578125" style="434"/>
    <col min="7425" max="7425" width="37.28515625" style="434" customWidth="1"/>
    <col min="7426" max="7426" width="39.42578125" style="434" customWidth="1"/>
    <col min="7427" max="7427" width="35.140625" style="434" customWidth="1"/>
    <col min="7428" max="7428" width="28" style="434" customWidth="1"/>
    <col min="7429" max="7429" width="26.7109375" style="434" customWidth="1"/>
    <col min="7430" max="7430" width="23.7109375" style="434" customWidth="1"/>
    <col min="7431" max="7431" width="30.7109375" style="434" bestFit="1" customWidth="1"/>
    <col min="7432" max="7432" width="24.140625" style="434" customWidth="1"/>
    <col min="7433" max="7433" width="30.42578125" style="434" customWidth="1"/>
    <col min="7434" max="7435" width="29" style="434" customWidth="1"/>
    <col min="7436" max="7436" width="22.7109375" style="434" customWidth="1"/>
    <col min="7437" max="7438" width="11.42578125" style="434"/>
    <col min="7439" max="7439" width="16.42578125" style="434" customWidth="1"/>
    <col min="7440" max="7680" width="11.42578125" style="434"/>
    <col min="7681" max="7681" width="37.28515625" style="434" customWidth="1"/>
    <col min="7682" max="7682" width="39.42578125" style="434" customWidth="1"/>
    <col min="7683" max="7683" width="35.140625" style="434" customWidth="1"/>
    <col min="7684" max="7684" width="28" style="434" customWidth="1"/>
    <col min="7685" max="7685" width="26.7109375" style="434" customWidth="1"/>
    <col min="7686" max="7686" width="23.7109375" style="434" customWidth="1"/>
    <col min="7687" max="7687" width="30.7109375" style="434" bestFit="1" customWidth="1"/>
    <col min="7688" max="7688" width="24.140625" style="434" customWidth="1"/>
    <col min="7689" max="7689" width="30.42578125" style="434" customWidth="1"/>
    <col min="7690" max="7691" width="29" style="434" customWidth="1"/>
    <col min="7692" max="7692" width="22.7109375" style="434" customWidth="1"/>
    <col min="7693" max="7694" width="11.42578125" style="434"/>
    <col min="7695" max="7695" width="16.42578125" style="434" customWidth="1"/>
    <col min="7696" max="7936" width="11.42578125" style="434"/>
    <col min="7937" max="7937" width="37.28515625" style="434" customWidth="1"/>
    <col min="7938" max="7938" width="39.42578125" style="434" customWidth="1"/>
    <col min="7939" max="7939" width="35.140625" style="434" customWidth="1"/>
    <col min="7940" max="7940" width="28" style="434" customWidth="1"/>
    <col min="7941" max="7941" width="26.7109375" style="434" customWidth="1"/>
    <col min="7942" max="7942" width="23.7109375" style="434" customWidth="1"/>
    <col min="7943" max="7943" width="30.7109375" style="434" bestFit="1" customWidth="1"/>
    <col min="7944" max="7944" width="24.140625" style="434" customWidth="1"/>
    <col min="7945" max="7945" width="30.42578125" style="434" customWidth="1"/>
    <col min="7946" max="7947" width="29" style="434" customWidth="1"/>
    <col min="7948" max="7948" width="22.7109375" style="434" customWidth="1"/>
    <col min="7949" max="7950" width="11.42578125" style="434"/>
    <col min="7951" max="7951" width="16.42578125" style="434" customWidth="1"/>
    <col min="7952" max="8192" width="11.42578125" style="434"/>
    <col min="8193" max="8193" width="37.28515625" style="434" customWidth="1"/>
    <col min="8194" max="8194" width="39.42578125" style="434" customWidth="1"/>
    <col min="8195" max="8195" width="35.140625" style="434" customWidth="1"/>
    <col min="8196" max="8196" width="28" style="434" customWidth="1"/>
    <col min="8197" max="8197" width="26.7109375" style="434" customWidth="1"/>
    <col min="8198" max="8198" width="23.7109375" style="434" customWidth="1"/>
    <col min="8199" max="8199" width="30.7109375" style="434" bestFit="1" customWidth="1"/>
    <col min="8200" max="8200" width="24.140625" style="434" customWidth="1"/>
    <col min="8201" max="8201" width="30.42578125" style="434" customWidth="1"/>
    <col min="8202" max="8203" width="29" style="434" customWidth="1"/>
    <col min="8204" max="8204" width="22.7109375" style="434" customWidth="1"/>
    <col min="8205" max="8206" width="11.42578125" style="434"/>
    <col min="8207" max="8207" width="16.42578125" style="434" customWidth="1"/>
    <col min="8208" max="8448" width="11.42578125" style="434"/>
    <col min="8449" max="8449" width="37.28515625" style="434" customWidth="1"/>
    <col min="8450" max="8450" width="39.42578125" style="434" customWidth="1"/>
    <col min="8451" max="8451" width="35.140625" style="434" customWidth="1"/>
    <col min="8452" max="8452" width="28" style="434" customWidth="1"/>
    <col min="8453" max="8453" width="26.7109375" style="434" customWidth="1"/>
    <col min="8454" max="8454" width="23.7109375" style="434" customWidth="1"/>
    <col min="8455" max="8455" width="30.7109375" style="434" bestFit="1" customWidth="1"/>
    <col min="8456" max="8456" width="24.140625" style="434" customWidth="1"/>
    <col min="8457" max="8457" width="30.42578125" style="434" customWidth="1"/>
    <col min="8458" max="8459" width="29" style="434" customWidth="1"/>
    <col min="8460" max="8460" width="22.7109375" style="434" customWidth="1"/>
    <col min="8461" max="8462" width="11.42578125" style="434"/>
    <col min="8463" max="8463" width="16.42578125" style="434" customWidth="1"/>
    <col min="8464" max="8704" width="11.42578125" style="434"/>
    <col min="8705" max="8705" width="37.28515625" style="434" customWidth="1"/>
    <col min="8706" max="8706" width="39.42578125" style="434" customWidth="1"/>
    <col min="8707" max="8707" width="35.140625" style="434" customWidth="1"/>
    <col min="8708" max="8708" width="28" style="434" customWidth="1"/>
    <col min="8709" max="8709" width="26.7109375" style="434" customWidth="1"/>
    <col min="8710" max="8710" width="23.7109375" style="434" customWidth="1"/>
    <col min="8711" max="8711" width="30.7109375" style="434" bestFit="1" customWidth="1"/>
    <col min="8712" max="8712" width="24.140625" style="434" customWidth="1"/>
    <col min="8713" max="8713" width="30.42578125" style="434" customWidth="1"/>
    <col min="8714" max="8715" width="29" style="434" customWidth="1"/>
    <col min="8716" max="8716" width="22.7109375" style="434" customWidth="1"/>
    <col min="8717" max="8718" width="11.42578125" style="434"/>
    <col min="8719" max="8719" width="16.42578125" style="434" customWidth="1"/>
    <col min="8720" max="8960" width="11.42578125" style="434"/>
    <col min="8961" max="8961" width="37.28515625" style="434" customWidth="1"/>
    <col min="8962" max="8962" width="39.42578125" style="434" customWidth="1"/>
    <col min="8963" max="8963" width="35.140625" style="434" customWidth="1"/>
    <col min="8964" max="8964" width="28" style="434" customWidth="1"/>
    <col min="8965" max="8965" width="26.7109375" style="434" customWidth="1"/>
    <col min="8966" max="8966" width="23.7109375" style="434" customWidth="1"/>
    <col min="8967" max="8967" width="30.7109375" style="434" bestFit="1" customWidth="1"/>
    <col min="8968" max="8968" width="24.140625" style="434" customWidth="1"/>
    <col min="8969" max="8969" width="30.42578125" style="434" customWidth="1"/>
    <col min="8970" max="8971" width="29" style="434" customWidth="1"/>
    <col min="8972" max="8972" width="22.7109375" style="434" customWidth="1"/>
    <col min="8973" max="8974" width="11.42578125" style="434"/>
    <col min="8975" max="8975" width="16.42578125" style="434" customWidth="1"/>
    <col min="8976" max="9216" width="11.42578125" style="434"/>
    <col min="9217" max="9217" width="37.28515625" style="434" customWidth="1"/>
    <col min="9218" max="9218" width="39.42578125" style="434" customWidth="1"/>
    <col min="9219" max="9219" width="35.140625" style="434" customWidth="1"/>
    <col min="9220" max="9220" width="28" style="434" customWidth="1"/>
    <col min="9221" max="9221" width="26.7109375" style="434" customWidth="1"/>
    <col min="9222" max="9222" width="23.7109375" style="434" customWidth="1"/>
    <col min="9223" max="9223" width="30.7109375" style="434" bestFit="1" customWidth="1"/>
    <col min="9224" max="9224" width="24.140625" style="434" customWidth="1"/>
    <col min="9225" max="9225" width="30.42578125" style="434" customWidth="1"/>
    <col min="9226" max="9227" width="29" style="434" customWidth="1"/>
    <col min="9228" max="9228" width="22.7109375" style="434" customWidth="1"/>
    <col min="9229" max="9230" width="11.42578125" style="434"/>
    <col min="9231" max="9231" width="16.42578125" style="434" customWidth="1"/>
    <col min="9232" max="9472" width="11.42578125" style="434"/>
    <col min="9473" max="9473" width="37.28515625" style="434" customWidth="1"/>
    <col min="9474" max="9474" width="39.42578125" style="434" customWidth="1"/>
    <col min="9475" max="9475" width="35.140625" style="434" customWidth="1"/>
    <col min="9476" max="9476" width="28" style="434" customWidth="1"/>
    <col min="9477" max="9477" width="26.7109375" style="434" customWidth="1"/>
    <col min="9478" max="9478" width="23.7109375" style="434" customWidth="1"/>
    <col min="9479" max="9479" width="30.7109375" style="434" bestFit="1" customWidth="1"/>
    <col min="9480" max="9480" width="24.140625" style="434" customWidth="1"/>
    <col min="9481" max="9481" width="30.42578125" style="434" customWidth="1"/>
    <col min="9482" max="9483" width="29" style="434" customWidth="1"/>
    <col min="9484" max="9484" width="22.7109375" style="434" customWidth="1"/>
    <col min="9485" max="9486" width="11.42578125" style="434"/>
    <col min="9487" max="9487" width="16.42578125" style="434" customWidth="1"/>
    <col min="9488" max="9728" width="11.42578125" style="434"/>
    <col min="9729" max="9729" width="37.28515625" style="434" customWidth="1"/>
    <col min="9730" max="9730" width="39.42578125" style="434" customWidth="1"/>
    <col min="9731" max="9731" width="35.140625" style="434" customWidth="1"/>
    <col min="9732" max="9732" width="28" style="434" customWidth="1"/>
    <col min="9733" max="9733" width="26.7109375" style="434" customWidth="1"/>
    <col min="9734" max="9734" width="23.7109375" style="434" customWidth="1"/>
    <col min="9735" max="9735" width="30.7109375" style="434" bestFit="1" customWidth="1"/>
    <col min="9736" max="9736" width="24.140625" style="434" customWidth="1"/>
    <col min="9737" max="9737" width="30.42578125" style="434" customWidth="1"/>
    <col min="9738" max="9739" width="29" style="434" customWidth="1"/>
    <col min="9740" max="9740" width="22.7109375" style="434" customWidth="1"/>
    <col min="9741" max="9742" width="11.42578125" style="434"/>
    <col min="9743" max="9743" width="16.42578125" style="434" customWidth="1"/>
    <col min="9744" max="9984" width="11.42578125" style="434"/>
    <col min="9985" max="9985" width="37.28515625" style="434" customWidth="1"/>
    <col min="9986" max="9986" width="39.42578125" style="434" customWidth="1"/>
    <col min="9987" max="9987" width="35.140625" style="434" customWidth="1"/>
    <col min="9988" max="9988" width="28" style="434" customWidth="1"/>
    <col min="9989" max="9989" width="26.7109375" style="434" customWidth="1"/>
    <col min="9990" max="9990" width="23.7109375" style="434" customWidth="1"/>
    <col min="9991" max="9991" width="30.7109375" style="434" bestFit="1" customWidth="1"/>
    <col min="9992" max="9992" width="24.140625" style="434" customWidth="1"/>
    <col min="9993" max="9993" width="30.42578125" style="434" customWidth="1"/>
    <col min="9994" max="9995" width="29" style="434" customWidth="1"/>
    <col min="9996" max="9996" width="22.7109375" style="434" customWidth="1"/>
    <col min="9997" max="9998" width="11.42578125" style="434"/>
    <col min="9999" max="9999" width="16.42578125" style="434" customWidth="1"/>
    <col min="10000" max="10240" width="11.42578125" style="434"/>
    <col min="10241" max="10241" width="37.28515625" style="434" customWidth="1"/>
    <col min="10242" max="10242" width="39.42578125" style="434" customWidth="1"/>
    <col min="10243" max="10243" width="35.140625" style="434" customWidth="1"/>
    <col min="10244" max="10244" width="28" style="434" customWidth="1"/>
    <col min="10245" max="10245" width="26.7109375" style="434" customWidth="1"/>
    <col min="10246" max="10246" width="23.7109375" style="434" customWidth="1"/>
    <col min="10247" max="10247" width="30.7109375" style="434" bestFit="1" customWidth="1"/>
    <col min="10248" max="10248" width="24.140625" style="434" customWidth="1"/>
    <col min="10249" max="10249" width="30.42578125" style="434" customWidth="1"/>
    <col min="10250" max="10251" width="29" style="434" customWidth="1"/>
    <col min="10252" max="10252" width="22.7109375" style="434" customWidth="1"/>
    <col min="10253" max="10254" width="11.42578125" style="434"/>
    <col min="10255" max="10255" width="16.42578125" style="434" customWidth="1"/>
    <col min="10256" max="10496" width="11.42578125" style="434"/>
    <col min="10497" max="10497" width="37.28515625" style="434" customWidth="1"/>
    <col min="10498" max="10498" width="39.42578125" style="434" customWidth="1"/>
    <col min="10499" max="10499" width="35.140625" style="434" customWidth="1"/>
    <col min="10500" max="10500" width="28" style="434" customWidth="1"/>
    <col min="10501" max="10501" width="26.7109375" style="434" customWidth="1"/>
    <col min="10502" max="10502" width="23.7109375" style="434" customWidth="1"/>
    <col min="10503" max="10503" width="30.7109375" style="434" bestFit="1" customWidth="1"/>
    <col min="10504" max="10504" width="24.140625" style="434" customWidth="1"/>
    <col min="10505" max="10505" width="30.42578125" style="434" customWidth="1"/>
    <col min="10506" max="10507" width="29" style="434" customWidth="1"/>
    <col min="10508" max="10508" width="22.7109375" style="434" customWidth="1"/>
    <col min="10509" max="10510" width="11.42578125" style="434"/>
    <col min="10511" max="10511" width="16.42578125" style="434" customWidth="1"/>
    <col min="10512" max="10752" width="11.42578125" style="434"/>
    <col min="10753" max="10753" width="37.28515625" style="434" customWidth="1"/>
    <col min="10754" max="10754" width="39.42578125" style="434" customWidth="1"/>
    <col min="10755" max="10755" width="35.140625" style="434" customWidth="1"/>
    <col min="10756" max="10756" width="28" style="434" customWidth="1"/>
    <col min="10757" max="10757" width="26.7109375" style="434" customWidth="1"/>
    <col min="10758" max="10758" width="23.7109375" style="434" customWidth="1"/>
    <col min="10759" max="10759" width="30.7109375" style="434" bestFit="1" customWidth="1"/>
    <col min="10760" max="10760" width="24.140625" style="434" customWidth="1"/>
    <col min="10761" max="10761" width="30.42578125" style="434" customWidth="1"/>
    <col min="10762" max="10763" width="29" style="434" customWidth="1"/>
    <col min="10764" max="10764" width="22.7109375" style="434" customWidth="1"/>
    <col min="10765" max="10766" width="11.42578125" style="434"/>
    <col min="10767" max="10767" width="16.42578125" style="434" customWidth="1"/>
    <col min="10768" max="11008" width="11.42578125" style="434"/>
    <col min="11009" max="11009" width="37.28515625" style="434" customWidth="1"/>
    <col min="11010" max="11010" width="39.42578125" style="434" customWidth="1"/>
    <col min="11011" max="11011" width="35.140625" style="434" customWidth="1"/>
    <col min="11012" max="11012" width="28" style="434" customWidth="1"/>
    <col min="11013" max="11013" width="26.7109375" style="434" customWidth="1"/>
    <col min="11014" max="11014" width="23.7109375" style="434" customWidth="1"/>
    <col min="11015" max="11015" width="30.7109375" style="434" bestFit="1" customWidth="1"/>
    <col min="11016" max="11016" width="24.140625" style="434" customWidth="1"/>
    <col min="11017" max="11017" width="30.42578125" style="434" customWidth="1"/>
    <col min="11018" max="11019" width="29" style="434" customWidth="1"/>
    <col min="11020" max="11020" width="22.7109375" style="434" customWidth="1"/>
    <col min="11021" max="11022" width="11.42578125" style="434"/>
    <col min="11023" max="11023" width="16.42578125" style="434" customWidth="1"/>
    <col min="11024" max="11264" width="11.42578125" style="434"/>
    <col min="11265" max="11265" width="37.28515625" style="434" customWidth="1"/>
    <col min="11266" max="11266" width="39.42578125" style="434" customWidth="1"/>
    <col min="11267" max="11267" width="35.140625" style="434" customWidth="1"/>
    <col min="11268" max="11268" width="28" style="434" customWidth="1"/>
    <col min="11269" max="11269" width="26.7109375" style="434" customWidth="1"/>
    <col min="11270" max="11270" width="23.7109375" style="434" customWidth="1"/>
    <col min="11271" max="11271" width="30.7109375" style="434" bestFit="1" customWidth="1"/>
    <col min="11272" max="11272" width="24.140625" style="434" customWidth="1"/>
    <col min="11273" max="11273" width="30.42578125" style="434" customWidth="1"/>
    <col min="11274" max="11275" width="29" style="434" customWidth="1"/>
    <col min="11276" max="11276" width="22.7109375" style="434" customWidth="1"/>
    <col min="11277" max="11278" width="11.42578125" style="434"/>
    <col min="11279" max="11279" width="16.42578125" style="434" customWidth="1"/>
    <col min="11280" max="11520" width="11.42578125" style="434"/>
    <col min="11521" max="11521" width="37.28515625" style="434" customWidth="1"/>
    <col min="11522" max="11522" width="39.42578125" style="434" customWidth="1"/>
    <col min="11523" max="11523" width="35.140625" style="434" customWidth="1"/>
    <col min="11524" max="11524" width="28" style="434" customWidth="1"/>
    <col min="11525" max="11525" width="26.7109375" style="434" customWidth="1"/>
    <col min="11526" max="11526" width="23.7109375" style="434" customWidth="1"/>
    <col min="11527" max="11527" width="30.7109375" style="434" bestFit="1" customWidth="1"/>
    <col min="11528" max="11528" width="24.140625" style="434" customWidth="1"/>
    <col min="11529" max="11529" width="30.42578125" style="434" customWidth="1"/>
    <col min="11530" max="11531" width="29" style="434" customWidth="1"/>
    <col min="11532" max="11532" width="22.7109375" style="434" customWidth="1"/>
    <col min="11533" max="11534" width="11.42578125" style="434"/>
    <col min="11535" max="11535" width="16.42578125" style="434" customWidth="1"/>
    <col min="11536" max="11776" width="11.42578125" style="434"/>
    <col min="11777" max="11777" width="37.28515625" style="434" customWidth="1"/>
    <col min="11778" max="11778" width="39.42578125" style="434" customWidth="1"/>
    <col min="11779" max="11779" width="35.140625" style="434" customWidth="1"/>
    <col min="11780" max="11780" width="28" style="434" customWidth="1"/>
    <col min="11781" max="11781" width="26.7109375" style="434" customWidth="1"/>
    <col min="11782" max="11782" width="23.7109375" style="434" customWidth="1"/>
    <col min="11783" max="11783" width="30.7109375" style="434" bestFit="1" customWidth="1"/>
    <col min="11784" max="11784" width="24.140625" style="434" customWidth="1"/>
    <col min="11785" max="11785" width="30.42578125" style="434" customWidth="1"/>
    <col min="11786" max="11787" width="29" style="434" customWidth="1"/>
    <col min="11788" max="11788" width="22.7109375" style="434" customWidth="1"/>
    <col min="11789" max="11790" width="11.42578125" style="434"/>
    <col min="11791" max="11791" width="16.42578125" style="434" customWidth="1"/>
    <col min="11792" max="12032" width="11.42578125" style="434"/>
    <col min="12033" max="12033" width="37.28515625" style="434" customWidth="1"/>
    <col min="12034" max="12034" width="39.42578125" style="434" customWidth="1"/>
    <col min="12035" max="12035" width="35.140625" style="434" customWidth="1"/>
    <col min="12036" max="12036" width="28" style="434" customWidth="1"/>
    <col min="12037" max="12037" width="26.7109375" style="434" customWidth="1"/>
    <col min="12038" max="12038" width="23.7109375" style="434" customWidth="1"/>
    <col min="12039" max="12039" width="30.7109375" style="434" bestFit="1" customWidth="1"/>
    <col min="12040" max="12040" width="24.140625" style="434" customWidth="1"/>
    <col min="12041" max="12041" width="30.42578125" style="434" customWidth="1"/>
    <col min="12042" max="12043" width="29" style="434" customWidth="1"/>
    <col min="12044" max="12044" width="22.7109375" style="434" customWidth="1"/>
    <col min="12045" max="12046" width="11.42578125" style="434"/>
    <col min="12047" max="12047" width="16.42578125" style="434" customWidth="1"/>
    <col min="12048" max="12288" width="11.42578125" style="434"/>
    <col min="12289" max="12289" width="37.28515625" style="434" customWidth="1"/>
    <col min="12290" max="12290" width="39.42578125" style="434" customWidth="1"/>
    <col min="12291" max="12291" width="35.140625" style="434" customWidth="1"/>
    <col min="12292" max="12292" width="28" style="434" customWidth="1"/>
    <col min="12293" max="12293" width="26.7109375" style="434" customWidth="1"/>
    <col min="12294" max="12294" width="23.7109375" style="434" customWidth="1"/>
    <col min="12295" max="12295" width="30.7109375" style="434" bestFit="1" customWidth="1"/>
    <col min="12296" max="12296" width="24.140625" style="434" customWidth="1"/>
    <col min="12297" max="12297" width="30.42578125" style="434" customWidth="1"/>
    <col min="12298" max="12299" width="29" style="434" customWidth="1"/>
    <col min="12300" max="12300" width="22.7109375" style="434" customWidth="1"/>
    <col min="12301" max="12302" width="11.42578125" style="434"/>
    <col min="12303" max="12303" width="16.42578125" style="434" customWidth="1"/>
    <col min="12304" max="12544" width="11.42578125" style="434"/>
    <col min="12545" max="12545" width="37.28515625" style="434" customWidth="1"/>
    <col min="12546" max="12546" width="39.42578125" style="434" customWidth="1"/>
    <col min="12547" max="12547" width="35.140625" style="434" customWidth="1"/>
    <col min="12548" max="12548" width="28" style="434" customWidth="1"/>
    <col min="12549" max="12549" width="26.7109375" style="434" customWidth="1"/>
    <col min="12550" max="12550" width="23.7109375" style="434" customWidth="1"/>
    <col min="12551" max="12551" width="30.7109375" style="434" bestFit="1" customWidth="1"/>
    <col min="12552" max="12552" width="24.140625" style="434" customWidth="1"/>
    <col min="12553" max="12553" width="30.42578125" style="434" customWidth="1"/>
    <col min="12554" max="12555" width="29" style="434" customWidth="1"/>
    <col min="12556" max="12556" width="22.7109375" style="434" customWidth="1"/>
    <col min="12557" max="12558" width="11.42578125" style="434"/>
    <col min="12559" max="12559" width="16.42578125" style="434" customWidth="1"/>
    <col min="12560" max="12800" width="11.42578125" style="434"/>
    <col min="12801" max="12801" width="37.28515625" style="434" customWidth="1"/>
    <col min="12802" max="12802" width="39.42578125" style="434" customWidth="1"/>
    <col min="12803" max="12803" width="35.140625" style="434" customWidth="1"/>
    <col min="12804" max="12804" width="28" style="434" customWidth="1"/>
    <col min="12805" max="12805" width="26.7109375" style="434" customWidth="1"/>
    <col min="12806" max="12806" width="23.7109375" style="434" customWidth="1"/>
    <col min="12807" max="12807" width="30.7109375" style="434" bestFit="1" customWidth="1"/>
    <col min="12808" max="12808" width="24.140625" style="434" customWidth="1"/>
    <col min="12809" max="12809" width="30.42578125" style="434" customWidth="1"/>
    <col min="12810" max="12811" width="29" style="434" customWidth="1"/>
    <col min="12812" max="12812" width="22.7109375" style="434" customWidth="1"/>
    <col min="12813" max="12814" width="11.42578125" style="434"/>
    <col min="12815" max="12815" width="16.42578125" style="434" customWidth="1"/>
    <col min="12816" max="13056" width="11.42578125" style="434"/>
    <col min="13057" max="13057" width="37.28515625" style="434" customWidth="1"/>
    <col min="13058" max="13058" width="39.42578125" style="434" customWidth="1"/>
    <col min="13059" max="13059" width="35.140625" style="434" customWidth="1"/>
    <col min="13060" max="13060" width="28" style="434" customWidth="1"/>
    <col min="13061" max="13061" width="26.7109375" style="434" customWidth="1"/>
    <col min="13062" max="13062" width="23.7109375" style="434" customWidth="1"/>
    <col min="13063" max="13063" width="30.7109375" style="434" bestFit="1" customWidth="1"/>
    <col min="13064" max="13064" width="24.140625" style="434" customWidth="1"/>
    <col min="13065" max="13065" width="30.42578125" style="434" customWidth="1"/>
    <col min="13066" max="13067" width="29" style="434" customWidth="1"/>
    <col min="13068" max="13068" width="22.7109375" style="434" customWidth="1"/>
    <col min="13069" max="13070" width="11.42578125" style="434"/>
    <col min="13071" max="13071" width="16.42578125" style="434" customWidth="1"/>
    <col min="13072" max="13312" width="11.42578125" style="434"/>
    <col min="13313" max="13313" width="37.28515625" style="434" customWidth="1"/>
    <col min="13314" max="13314" width="39.42578125" style="434" customWidth="1"/>
    <col min="13315" max="13315" width="35.140625" style="434" customWidth="1"/>
    <col min="13316" max="13316" width="28" style="434" customWidth="1"/>
    <col min="13317" max="13317" width="26.7109375" style="434" customWidth="1"/>
    <col min="13318" max="13318" width="23.7109375" style="434" customWidth="1"/>
    <col min="13319" max="13319" width="30.7109375" style="434" bestFit="1" customWidth="1"/>
    <col min="13320" max="13320" width="24.140625" style="434" customWidth="1"/>
    <col min="13321" max="13321" width="30.42578125" style="434" customWidth="1"/>
    <col min="13322" max="13323" width="29" style="434" customWidth="1"/>
    <col min="13324" max="13324" width="22.7109375" style="434" customWidth="1"/>
    <col min="13325" max="13326" width="11.42578125" style="434"/>
    <col min="13327" max="13327" width="16.42578125" style="434" customWidth="1"/>
    <col min="13328" max="13568" width="11.42578125" style="434"/>
    <col min="13569" max="13569" width="37.28515625" style="434" customWidth="1"/>
    <col min="13570" max="13570" width="39.42578125" style="434" customWidth="1"/>
    <col min="13571" max="13571" width="35.140625" style="434" customWidth="1"/>
    <col min="13572" max="13572" width="28" style="434" customWidth="1"/>
    <col min="13573" max="13573" width="26.7109375" style="434" customWidth="1"/>
    <col min="13574" max="13574" width="23.7109375" style="434" customWidth="1"/>
    <col min="13575" max="13575" width="30.7109375" style="434" bestFit="1" customWidth="1"/>
    <col min="13576" max="13576" width="24.140625" style="434" customWidth="1"/>
    <col min="13577" max="13577" width="30.42578125" style="434" customWidth="1"/>
    <col min="13578" max="13579" width="29" style="434" customWidth="1"/>
    <col min="13580" max="13580" width="22.7109375" style="434" customWidth="1"/>
    <col min="13581" max="13582" width="11.42578125" style="434"/>
    <col min="13583" max="13583" width="16.42578125" style="434" customWidth="1"/>
    <col min="13584" max="13824" width="11.42578125" style="434"/>
    <col min="13825" max="13825" width="37.28515625" style="434" customWidth="1"/>
    <col min="13826" max="13826" width="39.42578125" style="434" customWidth="1"/>
    <col min="13827" max="13827" width="35.140625" style="434" customWidth="1"/>
    <col min="13828" max="13828" width="28" style="434" customWidth="1"/>
    <col min="13829" max="13829" width="26.7109375" style="434" customWidth="1"/>
    <col min="13830" max="13830" width="23.7109375" style="434" customWidth="1"/>
    <col min="13831" max="13831" width="30.7109375" style="434" bestFit="1" customWidth="1"/>
    <col min="13832" max="13832" width="24.140625" style="434" customWidth="1"/>
    <col min="13833" max="13833" width="30.42578125" style="434" customWidth="1"/>
    <col min="13834" max="13835" width="29" style="434" customWidth="1"/>
    <col min="13836" max="13836" width="22.7109375" style="434" customWidth="1"/>
    <col min="13837" max="13838" width="11.42578125" style="434"/>
    <col min="13839" max="13839" width="16.42578125" style="434" customWidth="1"/>
    <col min="13840" max="14080" width="11.42578125" style="434"/>
    <col min="14081" max="14081" width="37.28515625" style="434" customWidth="1"/>
    <col min="14082" max="14082" width="39.42578125" style="434" customWidth="1"/>
    <col min="14083" max="14083" width="35.140625" style="434" customWidth="1"/>
    <col min="14084" max="14084" width="28" style="434" customWidth="1"/>
    <col min="14085" max="14085" width="26.7109375" style="434" customWidth="1"/>
    <col min="14086" max="14086" width="23.7109375" style="434" customWidth="1"/>
    <col min="14087" max="14087" width="30.7109375" style="434" bestFit="1" customWidth="1"/>
    <col min="14088" max="14088" width="24.140625" style="434" customWidth="1"/>
    <col min="14089" max="14089" width="30.42578125" style="434" customWidth="1"/>
    <col min="14090" max="14091" width="29" style="434" customWidth="1"/>
    <col min="14092" max="14092" width="22.7109375" style="434" customWidth="1"/>
    <col min="14093" max="14094" width="11.42578125" style="434"/>
    <col min="14095" max="14095" width="16.42578125" style="434" customWidth="1"/>
    <col min="14096" max="14336" width="11.42578125" style="434"/>
    <col min="14337" max="14337" width="37.28515625" style="434" customWidth="1"/>
    <col min="14338" max="14338" width="39.42578125" style="434" customWidth="1"/>
    <col min="14339" max="14339" width="35.140625" style="434" customWidth="1"/>
    <col min="14340" max="14340" width="28" style="434" customWidth="1"/>
    <col min="14341" max="14341" width="26.7109375" style="434" customWidth="1"/>
    <col min="14342" max="14342" width="23.7109375" style="434" customWidth="1"/>
    <col min="14343" max="14343" width="30.7109375" style="434" bestFit="1" customWidth="1"/>
    <col min="14344" max="14344" width="24.140625" style="434" customWidth="1"/>
    <col min="14345" max="14345" width="30.42578125" style="434" customWidth="1"/>
    <col min="14346" max="14347" width="29" style="434" customWidth="1"/>
    <col min="14348" max="14348" width="22.7109375" style="434" customWidth="1"/>
    <col min="14349" max="14350" width="11.42578125" style="434"/>
    <col min="14351" max="14351" width="16.42578125" style="434" customWidth="1"/>
    <col min="14352" max="14592" width="11.42578125" style="434"/>
    <col min="14593" max="14593" width="37.28515625" style="434" customWidth="1"/>
    <col min="14594" max="14594" width="39.42578125" style="434" customWidth="1"/>
    <col min="14595" max="14595" width="35.140625" style="434" customWidth="1"/>
    <col min="14596" max="14596" width="28" style="434" customWidth="1"/>
    <col min="14597" max="14597" width="26.7109375" style="434" customWidth="1"/>
    <col min="14598" max="14598" width="23.7109375" style="434" customWidth="1"/>
    <col min="14599" max="14599" width="30.7109375" style="434" bestFit="1" customWidth="1"/>
    <col min="14600" max="14600" width="24.140625" style="434" customWidth="1"/>
    <col min="14601" max="14601" width="30.42578125" style="434" customWidth="1"/>
    <col min="14602" max="14603" width="29" style="434" customWidth="1"/>
    <col min="14604" max="14604" width="22.7109375" style="434" customWidth="1"/>
    <col min="14605" max="14606" width="11.42578125" style="434"/>
    <col min="14607" max="14607" width="16.42578125" style="434" customWidth="1"/>
    <col min="14608" max="14848" width="11.42578125" style="434"/>
    <col min="14849" max="14849" width="37.28515625" style="434" customWidth="1"/>
    <col min="14850" max="14850" width="39.42578125" style="434" customWidth="1"/>
    <col min="14851" max="14851" width="35.140625" style="434" customWidth="1"/>
    <col min="14852" max="14852" width="28" style="434" customWidth="1"/>
    <col min="14853" max="14853" width="26.7109375" style="434" customWidth="1"/>
    <col min="14854" max="14854" width="23.7109375" style="434" customWidth="1"/>
    <col min="14855" max="14855" width="30.7109375" style="434" bestFit="1" customWidth="1"/>
    <col min="14856" max="14856" width="24.140625" style="434" customWidth="1"/>
    <col min="14857" max="14857" width="30.42578125" style="434" customWidth="1"/>
    <col min="14858" max="14859" width="29" style="434" customWidth="1"/>
    <col min="14860" max="14860" width="22.7109375" style="434" customWidth="1"/>
    <col min="14861" max="14862" width="11.42578125" style="434"/>
    <col min="14863" max="14863" width="16.42578125" style="434" customWidth="1"/>
    <col min="14864" max="15104" width="11.42578125" style="434"/>
    <col min="15105" max="15105" width="37.28515625" style="434" customWidth="1"/>
    <col min="15106" max="15106" width="39.42578125" style="434" customWidth="1"/>
    <col min="15107" max="15107" width="35.140625" style="434" customWidth="1"/>
    <col min="15108" max="15108" width="28" style="434" customWidth="1"/>
    <col min="15109" max="15109" width="26.7109375" style="434" customWidth="1"/>
    <col min="15110" max="15110" width="23.7109375" style="434" customWidth="1"/>
    <col min="15111" max="15111" width="30.7109375" style="434" bestFit="1" customWidth="1"/>
    <col min="15112" max="15112" width="24.140625" style="434" customWidth="1"/>
    <col min="15113" max="15113" width="30.42578125" style="434" customWidth="1"/>
    <col min="15114" max="15115" width="29" style="434" customWidth="1"/>
    <col min="15116" max="15116" width="22.7109375" style="434" customWidth="1"/>
    <col min="15117" max="15118" width="11.42578125" style="434"/>
    <col min="15119" max="15119" width="16.42578125" style="434" customWidth="1"/>
    <col min="15120" max="15360" width="11.42578125" style="434"/>
    <col min="15361" max="15361" width="37.28515625" style="434" customWidth="1"/>
    <col min="15362" max="15362" width="39.42578125" style="434" customWidth="1"/>
    <col min="15363" max="15363" width="35.140625" style="434" customWidth="1"/>
    <col min="15364" max="15364" width="28" style="434" customWidth="1"/>
    <col min="15365" max="15365" width="26.7109375" style="434" customWidth="1"/>
    <col min="15366" max="15366" width="23.7109375" style="434" customWidth="1"/>
    <col min="15367" max="15367" width="30.7109375" style="434" bestFit="1" customWidth="1"/>
    <col min="15368" max="15368" width="24.140625" style="434" customWidth="1"/>
    <col min="15369" max="15369" width="30.42578125" style="434" customWidth="1"/>
    <col min="15370" max="15371" width="29" style="434" customWidth="1"/>
    <col min="15372" max="15372" width="22.7109375" style="434" customWidth="1"/>
    <col min="15373" max="15374" width="11.42578125" style="434"/>
    <col min="15375" max="15375" width="16.42578125" style="434" customWidth="1"/>
    <col min="15376" max="15616" width="11.42578125" style="434"/>
    <col min="15617" max="15617" width="37.28515625" style="434" customWidth="1"/>
    <col min="15618" max="15618" width="39.42578125" style="434" customWidth="1"/>
    <col min="15619" max="15619" width="35.140625" style="434" customWidth="1"/>
    <col min="15620" max="15620" width="28" style="434" customWidth="1"/>
    <col min="15621" max="15621" width="26.7109375" style="434" customWidth="1"/>
    <col min="15622" max="15622" width="23.7109375" style="434" customWidth="1"/>
    <col min="15623" max="15623" width="30.7109375" style="434" bestFit="1" customWidth="1"/>
    <col min="15624" max="15624" width="24.140625" style="434" customWidth="1"/>
    <col min="15625" max="15625" width="30.42578125" style="434" customWidth="1"/>
    <col min="15626" max="15627" width="29" style="434" customWidth="1"/>
    <col min="15628" max="15628" width="22.7109375" style="434" customWidth="1"/>
    <col min="15629" max="15630" width="11.42578125" style="434"/>
    <col min="15631" max="15631" width="16.42578125" style="434" customWidth="1"/>
    <col min="15632" max="15872" width="11.42578125" style="434"/>
    <col min="15873" max="15873" width="37.28515625" style="434" customWidth="1"/>
    <col min="15874" max="15874" width="39.42578125" style="434" customWidth="1"/>
    <col min="15875" max="15875" width="35.140625" style="434" customWidth="1"/>
    <col min="15876" max="15876" width="28" style="434" customWidth="1"/>
    <col min="15877" max="15877" width="26.7109375" style="434" customWidth="1"/>
    <col min="15878" max="15878" width="23.7109375" style="434" customWidth="1"/>
    <col min="15879" max="15879" width="30.7109375" style="434" bestFit="1" customWidth="1"/>
    <col min="15880" max="15880" width="24.140625" style="434" customWidth="1"/>
    <col min="15881" max="15881" width="30.42578125" style="434" customWidth="1"/>
    <col min="15882" max="15883" width="29" style="434" customWidth="1"/>
    <col min="15884" max="15884" width="22.7109375" style="434" customWidth="1"/>
    <col min="15885" max="15886" width="11.42578125" style="434"/>
    <col min="15887" max="15887" width="16.42578125" style="434" customWidth="1"/>
    <col min="15888" max="16128" width="11.42578125" style="434"/>
    <col min="16129" max="16129" width="37.28515625" style="434" customWidth="1"/>
    <col min="16130" max="16130" width="39.42578125" style="434" customWidth="1"/>
    <col min="16131" max="16131" width="35.140625" style="434" customWidth="1"/>
    <col min="16132" max="16132" width="28" style="434" customWidth="1"/>
    <col min="16133" max="16133" width="26.7109375" style="434" customWidth="1"/>
    <col min="16134" max="16134" width="23.7109375" style="434" customWidth="1"/>
    <col min="16135" max="16135" width="30.7109375" style="434" bestFit="1" customWidth="1"/>
    <col min="16136" max="16136" width="24.140625" style="434" customWidth="1"/>
    <col min="16137" max="16137" width="30.42578125" style="434" customWidth="1"/>
    <col min="16138" max="16139" width="29" style="434" customWidth="1"/>
    <col min="16140" max="16140" width="22.7109375" style="434" customWidth="1"/>
    <col min="16141" max="16142" width="11.42578125" style="434"/>
    <col min="16143" max="16143" width="16.42578125" style="434" customWidth="1"/>
    <col min="16144" max="16384" width="11.42578125" style="434"/>
  </cols>
  <sheetData>
    <row r="1" spans="1:12" ht="47.25" customHeight="1" x14ac:dyDescent="0.25">
      <c r="A1" s="2071"/>
      <c r="B1" s="2008" t="s">
        <v>1598</v>
      </c>
      <c r="C1" s="2008"/>
      <c r="D1" s="2008"/>
      <c r="E1" s="2008"/>
      <c r="F1" s="2008"/>
      <c r="G1" s="2008"/>
      <c r="H1" s="2008"/>
      <c r="I1" s="2008"/>
      <c r="J1" s="2008"/>
      <c r="K1" s="2008"/>
      <c r="L1" s="976" t="s">
        <v>1595</v>
      </c>
    </row>
    <row r="2" spans="1:12" ht="44.25" customHeight="1" x14ac:dyDescent="0.25">
      <c r="A2" s="2071"/>
      <c r="B2" s="2008"/>
      <c r="C2" s="2008"/>
      <c r="D2" s="2008"/>
      <c r="E2" s="2008"/>
      <c r="F2" s="2008"/>
      <c r="G2" s="2008"/>
      <c r="H2" s="2008"/>
      <c r="I2" s="2008"/>
      <c r="J2" s="2008"/>
      <c r="K2" s="2008"/>
      <c r="L2" s="977" t="s">
        <v>1731</v>
      </c>
    </row>
    <row r="3" spans="1:12" x14ac:dyDescent="0.25">
      <c r="I3" s="434"/>
    </row>
    <row r="4" spans="1:12" s="1152" customFormat="1" ht="22.15" customHeight="1" x14ac:dyDescent="0.2">
      <c r="A4" s="435" t="s">
        <v>118</v>
      </c>
      <c r="B4" s="2072" t="str">
        <f>+FENECIMIENTO!D4</f>
        <v xml:space="preserve">80000 - DIRECCIÓN SECTOR MOVILIDAD </v>
      </c>
      <c r="C4" s="2072"/>
      <c r="D4" s="2072"/>
      <c r="E4" s="2072"/>
      <c r="H4" s="1153"/>
    </row>
    <row r="5" spans="1:12" s="1152" customFormat="1" ht="31.9" customHeight="1" x14ac:dyDescent="0.25">
      <c r="A5" s="435" t="s">
        <v>1</v>
      </c>
      <c r="B5" s="1944" t="str">
        <f>+FENECIMIENTO!D5</f>
        <v xml:space="preserve">262 - Empresa de Transporte del Tercer Milenio - Transmilenio S.A. </v>
      </c>
      <c r="C5" s="1945"/>
      <c r="D5" s="437" t="s">
        <v>2</v>
      </c>
      <c r="E5" s="1154">
        <f>+FENECIMIENTO!K5</f>
        <v>2024</v>
      </c>
      <c r="H5" s="1153"/>
    </row>
    <row r="6" spans="1:12" s="1152" customFormat="1" ht="17.45" customHeight="1" x14ac:dyDescent="0.25">
      <c r="A6" s="435" t="s">
        <v>1589</v>
      </c>
      <c r="B6" s="1944">
        <f>+FENECIMIENTO!D6</f>
        <v>2025</v>
      </c>
      <c r="C6" s="1945"/>
      <c r="D6" s="437" t="s">
        <v>676</v>
      </c>
      <c r="E6" s="1154">
        <f>+FENECIMIENTO!K6</f>
        <v>87</v>
      </c>
      <c r="F6" s="1357"/>
      <c r="H6" s="1153"/>
      <c r="I6" s="1153"/>
    </row>
    <row r="7" spans="1:12" x14ac:dyDescent="0.2">
      <c r="B7" s="10"/>
      <c r="C7" s="2073"/>
      <c r="D7" s="2073"/>
      <c r="E7" s="249"/>
      <c r="F7" s="438"/>
    </row>
    <row r="8" spans="1:12" ht="168.75" customHeight="1" x14ac:dyDescent="0.25">
      <c r="A8" s="2074" t="s">
        <v>1747</v>
      </c>
      <c r="B8" s="2074"/>
      <c r="C8" s="2074"/>
      <c r="D8" s="2074"/>
      <c r="E8" s="2074"/>
      <c r="F8" s="2074"/>
      <c r="G8" s="2074"/>
      <c r="H8" s="2074"/>
    </row>
    <row r="9" spans="1:12" ht="15.75" thickBot="1" x14ac:dyDescent="0.25">
      <c r="A9" s="1152"/>
      <c r="B9" s="10"/>
      <c r="C9" s="1155"/>
      <c r="D9" s="1155"/>
      <c r="E9" s="249"/>
      <c r="F9" s="438"/>
      <c r="G9" s="1152"/>
      <c r="H9" s="1153"/>
    </row>
    <row r="10" spans="1:12" ht="24" thickBot="1" x14ac:dyDescent="0.3">
      <c r="A10" s="2075" t="s">
        <v>866</v>
      </c>
      <c r="B10" s="2076"/>
      <c r="C10" s="2076"/>
      <c r="D10" s="2076"/>
      <c r="E10" s="2077"/>
      <c r="F10" s="2076"/>
      <c r="G10" s="2076"/>
      <c r="H10" s="2078"/>
      <c r="J10" s="436"/>
      <c r="K10" s="436"/>
    </row>
    <row r="11" spans="1:12" ht="47.25" x14ac:dyDescent="0.25">
      <c r="A11" s="1156" t="s">
        <v>867</v>
      </c>
      <c r="B11" s="1156" t="s">
        <v>868</v>
      </c>
      <c r="C11" s="1157" t="s">
        <v>869</v>
      </c>
      <c r="D11" s="1158" t="s">
        <v>646</v>
      </c>
      <c r="E11" s="1159" t="s">
        <v>870</v>
      </c>
      <c r="F11" s="1160"/>
      <c r="G11" s="1161"/>
      <c r="H11" s="1153"/>
      <c r="J11" s="436"/>
      <c r="K11" s="436"/>
    </row>
    <row r="12" spans="1:12" ht="15.75" x14ac:dyDescent="0.25">
      <c r="A12" s="440" t="s">
        <v>871</v>
      </c>
      <c r="B12" s="441">
        <f>C79</f>
        <v>1000</v>
      </c>
      <c r="C12" s="1381">
        <f t="array" ref="C12">SUM(ABS(C24:C78))</f>
        <v>1000</v>
      </c>
      <c r="D12" s="1162">
        <f>D79</f>
        <v>1000</v>
      </c>
      <c r="E12" s="868">
        <f>IF(D12=0,"",D12/C12)</f>
        <v>1</v>
      </c>
      <c r="F12" s="442"/>
      <c r="G12" s="442"/>
      <c r="I12" s="443"/>
      <c r="J12" s="443"/>
      <c r="K12" s="443"/>
    </row>
    <row r="13" spans="1:12" ht="15.75" x14ac:dyDescent="0.25">
      <c r="A13" s="440" t="s">
        <v>872</v>
      </c>
      <c r="B13" s="441">
        <f>+C122</f>
        <v>1000</v>
      </c>
      <c r="C13" s="1381" cm="1">
        <f t="array" ref="C13">SUM(ABS(C83:C121))</f>
        <v>1000</v>
      </c>
      <c r="D13" s="1162">
        <f>D122</f>
        <v>1000</v>
      </c>
      <c r="E13" s="868">
        <f>IF(D13=0,"",D13/C13)</f>
        <v>1</v>
      </c>
      <c r="F13" s="1356"/>
      <c r="G13" s="442"/>
      <c r="I13" s="443"/>
      <c r="J13" s="443"/>
      <c r="K13" s="443"/>
    </row>
    <row r="14" spans="1:12" ht="15.75" x14ac:dyDescent="0.25">
      <c r="A14" s="444" t="s">
        <v>873</v>
      </c>
      <c r="B14" s="1617"/>
      <c r="C14" s="1380"/>
      <c r="D14" s="1379"/>
      <c r="E14" s="868" t="str">
        <f>IF(D14="","",D14/B14)</f>
        <v/>
      </c>
      <c r="F14" s="439"/>
      <c r="G14" s="442"/>
      <c r="I14" s="443"/>
      <c r="J14" s="443"/>
      <c r="K14" s="443"/>
    </row>
    <row r="15" spans="1:12" ht="15.75" x14ac:dyDescent="0.25">
      <c r="A15" s="440" t="s">
        <v>874</v>
      </c>
      <c r="B15" s="1618"/>
      <c r="C15" s="1380"/>
      <c r="D15" s="1379"/>
      <c r="E15" s="868" t="str">
        <f>IF(D15="","",D15/B15)</f>
        <v/>
      </c>
      <c r="G15" s="442"/>
      <c r="I15" s="443"/>
      <c r="J15" s="443"/>
      <c r="K15" s="443"/>
    </row>
    <row r="16" spans="1:12" ht="15.75" x14ac:dyDescent="0.25">
      <c r="A16" s="445"/>
      <c r="B16" s="446"/>
      <c r="C16" s="447"/>
      <c r="D16" s="448"/>
      <c r="E16" s="449"/>
      <c r="G16" s="442"/>
      <c r="I16" s="443"/>
      <c r="J16" s="443"/>
      <c r="K16" s="443"/>
    </row>
    <row r="17" spans="1:12" ht="132" customHeight="1" x14ac:dyDescent="0.25">
      <c r="A17" s="2079" t="s">
        <v>875</v>
      </c>
      <c r="B17" s="2079"/>
      <c r="C17" s="2079"/>
      <c r="D17" s="2079"/>
      <c r="E17" s="2079"/>
      <c r="F17" s="2079"/>
      <c r="G17" s="442"/>
      <c r="I17" s="443"/>
      <c r="J17" s="443"/>
      <c r="K17" s="443"/>
    </row>
    <row r="18" spans="1:12" x14ac:dyDescent="0.25">
      <c r="A18" s="450"/>
      <c r="B18" s="451"/>
      <c r="C18" s="451"/>
      <c r="D18" s="452"/>
      <c r="E18" s="452"/>
      <c r="F18" s="452"/>
      <c r="G18" s="452"/>
      <c r="H18" s="443"/>
      <c r="I18" s="443"/>
      <c r="J18" s="443"/>
      <c r="K18" s="443"/>
    </row>
    <row r="19" spans="1:12" ht="38.25" customHeight="1" x14ac:dyDescent="0.25">
      <c r="A19" s="2080" t="s">
        <v>876</v>
      </c>
      <c r="B19" s="2081"/>
      <c r="C19" s="2081"/>
      <c r="D19" s="2081"/>
      <c r="E19" s="2081"/>
      <c r="F19" s="2081"/>
      <c r="G19" s="2081"/>
      <c r="H19" s="2081"/>
      <c r="I19" s="2081"/>
      <c r="J19" s="2081"/>
      <c r="K19" s="2081"/>
      <c r="L19" s="2082"/>
    </row>
    <row r="20" spans="1:12" ht="18.399999999999999" customHeight="1" x14ac:dyDescent="0.25">
      <c r="A20" s="2083" t="s">
        <v>877</v>
      </c>
      <c r="B20" s="2084"/>
      <c r="C20" s="2084"/>
      <c r="D20" s="2084"/>
      <c r="E20" s="2084"/>
      <c r="F20" s="2084"/>
      <c r="G20" s="2084"/>
      <c r="H20" s="2084"/>
      <c r="I20" s="2084"/>
      <c r="J20" s="2084"/>
      <c r="K20" s="2084"/>
      <c r="L20" s="2085"/>
    </row>
    <row r="21" spans="1:12" ht="22.5" customHeight="1" thickBot="1" x14ac:dyDescent="0.3">
      <c r="A21" s="2086" t="s">
        <v>878</v>
      </c>
      <c r="B21" s="2087"/>
      <c r="C21" s="2087"/>
      <c r="D21" s="2087"/>
      <c r="E21" s="2088"/>
      <c r="F21" s="2088"/>
      <c r="G21" s="2088"/>
      <c r="H21" s="453" t="s">
        <v>879</v>
      </c>
      <c r="I21" s="454"/>
      <c r="J21" s="454"/>
      <c r="K21" s="454"/>
      <c r="L21" s="455"/>
    </row>
    <row r="22" spans="1:12" ht="17.25" customHeight="1" thickTop="1" thickBot="1" x14ac:dyDescent="0.3">
      <c r="A22" s="2089" t="s">
        <v>1712</v>
      </c>
      <c r="B22" s="2090"/>
      <c r="C22" s="2090"/>
      <c r="D22" s="2091"/>
      <c r="E22" s="2092" t="s">
        <v>880</v>
      </c>
      <c r="F22" s="2093"/>
      <c r="G22" s="2093"/>
      <c r="H22" s="2093"/>
      <c r="I22" s="2094"/>
      <c r="J22" s="456"/>
      <c r="K22" s="456"/>
      <c r="L22" s="457"/>
    </row>
    <row r="23" spans="1:12" ht="75.75" customHeight="1" thickTop="1" x14ac:dyDescent="0.25">
      <c r="A23" s="458" t="s">
        <v>881</v>
      </c>
      <c r="B23" s="459" t="s">
        <v>882</v>
      </c>
      <c r="C23" s="459" t="s">
        <v>883</v>
      </c>
      <c r="D23" s="459" t="s">
        <v>884</v>
      </c>
      <c r="E23" s="459" t="s">
        <v>885</v>
      </c>
      <c r="F23" s="459" t="s">
        <v>886</v>
      </c>
      <c r="G23" s="460" t="s">
        <v>887</v>
      </c>
      <c r="H23" s="461" t="s">
        <v>888</v>
      </c>
      <c r="I23" s="461" t="s">
        <v>889</v>
      </c>
      <c r="J23" s="461" t="s">
        <v>890</v>
      </c>
      <c r="K23" s="461" t="s">
        <v>891</v>
      </c>
      <c r="L23" s="462" t="s">
        <v>892</v>
      </c>
    </row>
    <row r="24" spans="1:12" ht="20.25" customHeight="1" x14ac:dyDescent="0.25">
      <c r="A24" s="463">
        <v>11</v>
      </c>
      <c r="B24" s="1581" t="s">
        <v>1776</v>
      </c>
      <c r="C24" s="464">
        <v>1000</v>
      </c>
      <c r="D24" s="464">
        <v>1000</v>
      </c>
      <c r="E24" s="464"/>
      <c r="F24" s="464"/>
      <c r="G24" s="465">
        <f t="shared" ref="G24:G78" si="0">+E24+F24</f>
        <v>0</v>
      </c>
      <c r="H24" s="466"/>
      <c r="I24" s="467">
        <f t="shared" ref="I24:I78" si="1">G24+H24</f>
        <v>0</v>
      </c>
      <c r="J24" s="468"/>
      <c r="K24" s="468"/>
      <c r="L24" s="469"/>
    </row>
    <row r="25" spans="1:12" ht="20.25" customHeight="1" x14ac:dyDescent="0.25">
      <c r="A25" s="463"/>
      <c r="B25" s="1581"/>
      <c r="C25" s="464"/>
      <c r="D25" s="464"/>
      <c r="E25" s="464"/>
      <c r="F25" s="464"/>
      <c r="G25" s="465">
        <f t="shared" si="0"/>
        <v>0</v>
      </c>
      <c r="H25" s="466"/>
      <c r="I25" s="467">
        <f t="shared" si="1"/>
        <v>0</v>
      </c>
      <c r="J25" s="468"/>
      <c r="K25" s="468"/>
      <c r="L25" s="469"/>
    </row>
    <row r="26" spans="1:12" ht="20.25" customHeight="1" x14ac:dyDescent="0.25">
      <c r="A26" s="463"/>
      <c r="B26" s="1581"/>
      <c r="C26" s="464"/>
      <c r="D26" s="464"/>
      <c r="E26" s="464"/>
      <c r="F26" s="464"/>
      <c r="G26" s="465">
        <f t="shared" si="0"/>
        <v>0</v>
      </c>
      <c r="H26" s="466"/>
      <c r="I26" s="467">
        <f t="shared" si="1"/>
        <v>0</v>
      </c>
      <c r="J26" s="468"/>
      <c r="K26" s="468"/>
      <c r="L26" s="469"/>
    </row>
    <row r="27" spans="1:12" ht="20.25" customHeight="1" x14ac:dyDescent="0.25">
      <c r="A27" s="463"/>
      <c r="B27" s="1581"/>
      <c r="C27" s="464"/>
      <c r="D27" s="464"/>
      <c r="E27" s="464"/>
      <c r="F27" s="464"/>
      <c r="G27" s="465">
        <f t="shared" si="0"/>
        <v>0</v>
      </c>
      <c r="H27" s="466"/>
      <c r="I27" s="467">
        <f t="shared" si="1"/>
        <v>0</v>
      </c>
      <c r="J27" s="468"/>
      <c r="K27" s="468"/>
      <c r="L27" s="469"/>
    </row>
    <row r="28" spans="1:12" ht="20.25" customHeight="1" x14ac:dyDescent="0.25">
      <c r="A28" s="463"/>
      <c r="B28" s="1581"/>
      <c r="C28" s="464"/>
      <c r="D28" s="464"/>
      <c r="E28" s="464"/>
      <c r="F28" s="464"/>
      <c r="G28" s="465">
        <f t="shared" si="0"/>
        <v>0</v>
      </c>
      <c r="H28" s="466"/>
      <c r="I28" s="467">
        <f t="shared" si="1"/>
        <v>0</v>
      </c>
      <c r="J28" s="468"/>
      <c r="K28" s="468"/>
      <c r="L28" s="469"/>
    </row>
    <row r="29" spans="1:12" ht="20.25" customHeight="1" x14ac:dyDescent="0.25">
      <c r="A29" s="463"/>
      <c r="B29" s="1581"/>
      <c r="C29" s="464"/>
      <c r="D29" s="464"/>
      <c r="E29" s="464"/>
      <c r="F29" s="464"/>
      <c r="G29" s="465">
        <f t="shared" si="0"/>
        <v>0</v>
      </c>
      <c r="H29" s="466"/>
      <c r="I29" s="467">
        <f t="shared" si="1"/>
        <v>0</v>
      </c>
      <c r="J29" s="468"/>
      <c r="K29" s="468"/>
      <c r="L29" s="469"/>
    </row>
    <row r="30" spans="1:12" ht="20.25" customHeight="1" x14ac:dyDescent="0.25">
      <c r="A30" s="463"/>
      <c r="B30" s="1581"/>
      <c r="C30" s="464"/>
      <c r="D30" s="464"/>
      <c r="E30" s="464"/>
      <c r="F30" s="464"/>
      <c r="G30" s="465">
        <f t="shared" si="0"/>
        <v>0</v>
      </c>
      <c r="H30" s="466"/>
      <c r="I30" s="467">
        <f t="shared" si="1"/>
        <v>0</v>
      </c>
      <c r="J30" s="468"/>
      <c r="K30" s="468"/>
      <c r="L30" s="469"/>
    </row>
    <row r="31" spans="1:12" ht="20.25" customHeight="1" x14ac:dyDescent="0.25">
      <c r="A31" s="463"/>
      <c r="B31" s="1581"/>
      <c r="C31" s="464"/>
      <c r="D31" s="464"/>
      <c r="E31" s="464"/>
      <c r="F31" s="464"/>
      <c r="G31" s="465">
        <f t="shared" si="0"/>
        <v>0</v>
      </c>
      <c r="H31" s="466"/>
      <c r="I31" s="467">
        <f t="shared" si="1"/>
        <v>0</v>
      </c>
      <c r="J31" s="468"/>
      <c r="K31" s="468"/>
      <c r="L31" s="469"/>
    </row>
    <row r="32" spans="1:12" ht="20.25" customHeight="1" x14ac:dyDescent="0.25">
      <c r="A32" s="463"/>
      <c r="B32" s="1581"/>
      <c r="C32" s="464"/>
      <c r="D32" s="464"/>
      <c r="E32" s="464"/>
      <c r="F32" s="464"/>
      <c r="G32" s="465">
        <f t="shared" si="0"/>
        <v>0</v>
      </c>
      <c r="H32" s="466"/>
      <c r="I32" s="467">
        <f t="shared" si="1"/>
        <v>0</v>
      </c>
      <c r="J32" s="468"/>
      <c r="K32" s="468"/>
      <c r="L32" s="469"/>
    </row>
    <row r="33" spans="1:12" ht="20.25" customHeight="1" x14ac:dyDescent="0.25">
      <c r="A33" s="463"/>
      <c r="B33" s="1581"/>
      <c r="C33" s="464"/>
      <c r="D33" s="464"/>
      <c r="E33" s="464"/>
      <c r="F33" s="464"/>
      <c r="G33" s="465">
        <f t="shared" si="0"/>
        <v>0</v>
      </c>
      <c r="H33" s="466"/>
      <c r="I33" s="467">
        <f t="shared" si="1"/>
        <v>0</v>
      </c>
      <c r="J33" s="468"/>
      <c r="K33" s="468"/>
      <c r="L33" s="469"/>
    </row>
    <row r="34" spans="1:12" ht="20.25" customHeight="1" x14ac:dyDescent="0.25">
      <c r="A34" s="463"/>
      <c r="B34" s="1581"/>
      <c r="C34" s="464"/>
      <c r="D34" s="464"/>
      <c r="E34" s="464"/>
      <c r="F34" s="464"/>
      <c r="G34" s="465">
        <f t="shared" si="0"/>
        <v>0</v>
      </c>
      <c r="H34" s="466"/>
      <c r="I34" s="467">
        <f t="shared" si="1"/>
        <v>0</v>
      </c>
      <c r="J34" s="468"/>
      <c r="K34" s="468"/>
      <c r="L34" s="469"/>
    </row>
    <row r="35" spans="1:12" ht="27.75" customHeight="1" x14ac:dyDescent="0.25">
      <c r="A35" s="463"/>
      <c r="B35" s="1581"/>
      <c r="C35" s="464"/>
      <c r="D35" s="464"/>
      <c r="E35" s="464"/>
      <c r="F35" s="464"/>
      <c r="G35" s="465">
        <f t="shared" si="0"/>
        <v>0</v>
      </c>
      <c r="H35" s="466"/>
      <c r="I35" s="467">
        <f t="shared" si="1"/>
        <v>0</v>
      </c>
      <c r="J35" s="468"/>
      <c r="K35" s="468"/>
      <c r="L35" s="469"/>
    </row>
    <row r="36" spans="1:12" ht="20.25" customHeight="1" x14ac:dyDescent="0.25">
      <c r="A36" s="463"/>
      <c r="B36" s="1581"/>
      <c r="C36" s="464"/>
      <c r="D36" s="464"/>
      <c r="E36" s="464"/>
      <c r="F36" s="464"/>
      <c r="G36" s="465">
        <f t="shared" si="0"/>
        <v>0</v>
      </c>
      <c r="H36" s="466"/>
      <c r="I36" s="467">
        <f t="shared" si="1"/>
        <v>0</v>
      </c>
      <c r="J36" s="468"/>
      <c r="K36" s="468"/>
      <c r="L36" s="469"/>
    </row>
    <row r="37" spans="1:12" ht="20.25" customHeight="1" x14ac:dyDescent="0.25">
      <c r="A37" s="463"/>
      <c r="B37" s="1581"/>
      <c r="C37" s="464"/>
      <c r="D37" s="464"/>
      <c r="E37" s="464"/>
      <c r="F37" s="464"/>
      <c r="G37" s="465">
        <f t="shared" si="0"/>
        <v>0</v>
      </c>
      <c r="H37" s="466"/>
      <c r="I37" s="467">
        <f t="shared" si="1"/>
        <v>0</v>
      </c>
      <c r="J37" s="468"/>
      <c r="K37" s="468"/>
      <c r="L37" s="469"/>
    </row>
    <row r="38" spans="1:12" ht="20.25" customHeight="1" x14ac:dyDescent="0.25">
      <c r="A38" s="463"/>
      <c r="B38" s="1581"/>
      <c r="C38" s="464"/>
      <c r="D38" s="464"/>
      <c r="E38" s="464"/>
      <c r="F38" s="464"/>
      <c r="G38" s="465">
        <f t="shared" si="0"/>
        <v>0</v>
      </c>
      <c r="H38" s="466"/>
      <c r="I38" s="467">
        <f t="shared" si="1"/>
        <v>0</v>
      </c>
      <c r="J38" s="468"/>
      <c r="K38" s="468"/>
      <c r="L38" s="469"/>
    </row>
    <row r="39" spans="1:12" ht="20.25" customHeight="1" x14ac:dyDescent="0.25">
      <c r="A39" s="463"/>
      <c r="B39" s="1581"/>
      <c r="C39" s="464"/>
      <c r="D39" s="464"/>
      <c r="E39" s="464"/>
      <c r="F39" s="464"/>
      <c r="G39" s="465">
        <f t="shared" si="0"/>
        <v>0</v>
      </c>
      <c r="H39" s="466"/>
      <c r="I39" s="467">
        <f t="shared" si="1"/>
        <v>0</v>
      </c>
      <c r="J39" s="468"/>
      <c r="K39" s="468"/>
      <c r="L39" s="469"/>
    </row>
    <row r="40" spans="1:12" ht="20.25" customHeight="1" x14ac:dyDescent="0.25">
      <c r="A40" s="463"/>
      <c r="B40" s="1581"/>
      <c r="C40" s="464"/>
      <c r="D40" s="464"/>
      <c r="E40" s="464"/>
      <c r="F40" s="464"/>
      <c r="G40" s="465">
        <f t="shared" si="0"/>
        <v>0</v>
      </c>
      <c r="H40" s="466"/>
      <c r="I40" s="467">
        <f t="shared" si="1"/>
        <v>0</v>
      </c>
      <c r="J40" s="468"/>
      <c r="K40" s="468"/>
      <c r="L40" s="469"/>
    </row>
    <row r="41" spans="1:12" ht="20.25" customHeight="1" x14ac:dyDescent="0.25">
      <c r="A41" s="463"/>
      <c r="B41" s="1581"/>
      <c r="C41" s="464"/>
      <c r="D41" s="464"/>
      <c r="E41" s="464"/>
      <c r="F41" s="464"/>
      <c r="G41" s="465">
        <f t="shared" si="0"/>
        <v>0</v>
      </c>
      <c r="H41" s="466"/>
      <c r="I41" s="467">
        <f t="shared" si="1"/>
        <v>0</v>
      </c>
      <c r="J41" s="468"/>
      <c r="K41" s="468"/>
      <c r="L41" s="469"/>
    </row>
    <row r="42" spans="1:12" ht="20.25" customHeight="1" x14ac:dyDescent="0.25">
      <c r="A42" s="463"/>
      <c r="B42" s="1581"/>
      <c r="C42" s="464"/>
      <c r="D42" s="464"/>
      <c r="E42" s="464"/>
      <c r="F42" s="464"/>
      <c r="G42" s="465">
        <f t="shared" si="0"/>
        <v>0</v>
      </c>
      <c r="H42" s="466"/>
      <c r="I42" s="467">
        <f t="shared" si="1"/>
        <v>0</v>
      </c>
      <c r="J42" s="468"/>
      <c r="K42" s="468"/>
      <c r="L42" s="469"/>
    </row>
    <row r="43" spans="1:12" ht="20.25" customHeight="1" x14ac:dyDescent="0.25">
      <c r="A43" s="463"/>
      <c r="B43" s="1581"/>
      <c r="C43" s="464"/>
      <c r="D43" s="464"/>
      <c r="E43" s="464"/>
      <c r="F43" s="464"/>
      <c r="G43" s="465">
        <f t="shared" si="0"/>
        <v>0</v>
      </c>
      <c r="H43" s="466"/>
      <c r="I43" s="467">
        <f t="shared" si="1"/>
        <v>0</v>
      </c>
      <c r="J43" s="468"/>
      <c r="K43" s="468"/>
      <c r="L43" s="469"/>
    </row>
    <row r="44" spans="1:12" ht="20.25" customHeight="1" x14ac:dyDescent="0.25">
      <c r="A44" s="463"/>
      <c r="B44" s="1581"/>
      <c r="C44" s="464"/>
      <c r="D44" s="464"/>
      <c r="E44" s="464"/>
      <c r="F44" s="464"/>
      <c r="G44" s="465">
        <f t="shared" si="0"/>
        <v>0</v>
      </c>
      <c r="H44" s="466"/>
      <c r="I44" s="467">
        <f t="shared" si="1"/>
        <v>0</v>
      </c>
      <c r="J44" s="468"/>
      <c r="K44" s="468"/>
      <c r="L44" s="469"/>
    </row>
    <row r="45" spans="1:12" ht="20.25" customHeight="1" x14ac:dyDescent="0.25">
      <c r="A45" s="463"/>
      <c r="B45" s="1581"/>
      <c r="C45" s="464"/>
      <c r="D45" s="464"/>
      <c r="E45" s="464"/>
      <c r="F45" s="464"/>
      <c r="G45" s="465">
        <f t="shared" si="0"/>
        <v>0</v>
      </c>
      <c r="H45" s="466"/>
      <c r="I45" s="467">
        <f t="shared" si="1"/>
        <v>0</v>
      </c>
      <c r="J45" s="468"/>
      <c r="K45" s="468"/>
      <c r="L45" s="469"/>
    </row>
    <row r="46" spans="1:12" ht="20.25" customHeight="1" x14ac:dyDescent="0.25">
      <c r="A46" s="463"/>
      <c r="B46" s="1581"/>
      <c r="C46" s="464"/>
      <c r="D46" s="464"/>
      <c r="E46" s="464"/>
      <c r="F46" s="464"/>
      <c r="G46" s="465">
        <f t="shared" si="0"/>
        <v>0</v>
      </c>
      <c r="H46" s="466"/>
      <c r="I46" s="467">
        <f t="shared" si="1"/>
        <v>0</v>
      </c>
      <c r="J46" s="468"/>
      <c r="K46" s="468"/>
      <c r="L46" s="469"/>
    </row>
    <row r="47" spans="1:12" ht="20.25" customHeight="1" x14ac:dyDescent="0.25">
      <c r="A47" s="463"/>
      <c r="B47" s="1581"/>
      <c r="C47" s="464"/>
      <c r="D47" s="464"/>
      <c r="E47" s="464"/>
      <c r="F47" s="464"/>
      <c r="G47" s="465">
        <f t="shared" si="0"/>
        <v>0</v>
      </c>
      <c r="H47" s="466"/>
      <c r="I47" s="467">
        <f t="shared" si="1"/>
        <v>0</v>
      </c>
      <c r="J47" s="468"/>
      <c r="K47" s="468"/>
      <c r="L47" s="469"/>
    </row>
    <row r="48" spans="1:12" ht="20.25" customHeight="1" x14ac:dyDescent="0.25">
      <c r="A48" s="463"/>
      <c r="B48" s="1581"/>
      <c r="C48" s="464"/>
      <c r="D48" s="464"/>
      <c r="E48" s="464"/>
      <c r="F48" s="464"/>
      <c r="G48" s="465">
        <f t="shared" si="0"/>
        <v>0</v>
      </c>
      <c r="H48" s="466"/>
      <c r="I48" s="467">
        <f t="shared" si="1"/>
        <v>0</v>
      </c>
      <c r="J48" s="468"/>
      <c r="K48" s="468"/>
      <c r="L48" s="469"/>
    </row>
    <row r="49" spans="1:12" ht="20.25" customHeight="1" x14ac:dyDescent="0.25">
      <c r="A49" s="463"/>
      <c r="B49" s="1581"/>
      <c r="C49" s="464"/>
      <c r="D49" s="464"/>
      <c r="E49" s="464"/>
      <c r="F49" s="464"/>
      <c r="G49" s="465">
        <f t="shared" si="0"/>
        <v>0</v>
      </c>
      <c r="H49" s="466"/>
      <c r="I49" s="467">
        <f t="shared" si="1"/>
        <v>0</v>
      </c>
      <c r="J49" s="468"/>
      <c r="K49" s="468"/>
      <c r="L49" s="469"/>
    </row>
    <row r="50" spans="1:12" ht="20.25" customHeight="1" x14ac:dyDescent="0.25">
      <c r="A50" s="463"/>
      <c r="B50" s="1581"/>
      <c r="C50" s="464"/>
      <c r="D50" s="464"/>
      <c r="E50" s="464"/>
      <c r="F50" s="464"/>
      <c r="G50" s="465">
        <f t="shared" si="0"/>
        <v>0</v>
      </c>
      <c r="H50" s="466"/>
      <c r="I50" s="467">
        <f t="shared" si="1"/>
        <v>0</v>
      </c>
      <c r="J50" s="468"/>
      <c r="K50" s="468"/>
      <c r="L50" s="469"/>
    </row>
    <row r="51" spans="1:12" ht="20.25" customHeight="1" x14ac:dyDescent="0.25">
      <c r="A51" s="463"/>
      <c r="B51" s="1581"/>
      <c r="C51" s="464"/>
      <c r="D51" s="464"/>
      <c r="E51" s="464"/>
      <c r="F51" s="464"/>
      <c r="G51" s="465">
        <f t="shared" si="0"/>
        <v>0</v>
      </c>
      <c r="H51" s="466"/>
      <c r="I51" s="467">
        <f t="shared" si="1"/>
        <v>0</v>
      </c>
      <c r="J51" s="468"/>
      <c r="K51" s="468"/>
      <c r="L51" s="469"/>
    </row>
    <row r="52" spans="1:12" ht="20.25" customHeight="1" x14ac:dyDescent="0.25">
      <c r="A52" s="463"/>
      <c r="B52" s="1581"/>
      <c r="C52" s="464"/>
      <c r="D52" s="464"/>
      <c r="E52" s="464"/>
      <c r="F52" s="464"/>
      <c r="G52" s="465">
        <f t="shared" si="0"/>
        <v>0</v>
      </c>
      <c r="H52" s="466"/>
      <c r="I52" s="467">
        <f t="shared" si="1"/>
        <v>0</v>
      </c>
      <c r="J52" s="468"/>
      <c r="K52" s="468"/>
      <c r="L52" s="469"/>
    </row>
    <row r="53" spans="1:12" ht="20.25" customHeight="1" x14ac:dyDescent="0.25">
      <c r="A53" s="463"/>
      <c r="B53" s="1581"/>
      <c r="C53" s="464"/>
      <c r="D53" s="464"/>
      <c r="E53" s="464"/>
      <c r="F53" s="464"/>
      <c r="G53" s="465">
        <f t="shared" si="0"/>
        <v>0</v>
      </c>
      <c r="H53" s="466"/>
      <c r="I53" s="467">
        <f t="shared" si="1"/>
        <v>0</v>
      </c>
      <c r="J53" s="468"/>
      <c r="K53" s="468"/>
      <c r="L53" s="469"/>
    </row>
    <row r="54" spans="1:12" ht="20.25" customHeight="1" x14ac:dyDescent="0.25">
      <c r="A54" s="463"/>
      <c r="B54" s="1581"/>
      <c r="C54" s="464"/>
      <c r="D54" s="464"/>
      <c r="E54" s="464"/>
      <c r="F54" s="464"/>
      <c r="G54" s="465">
        <f t="shared" si="0"/>
        <v>0</v>
      </c>
      <c r="H54" s="466"/>
      <c r="I54" s="467">
        <f t="shared" si="1"/>
        <v>0</v>
      </c>
      <c r="J54" s="468"/>
      <c r="K54" s="468"/>
      <c r="L54" s="469"/>
    </row>
    <row r="55" spans="1:12" ht="20.25" customHeight="1" x14ac:dyDescent="0.25">
      <c r="A55" s="463"/>
      <c r="B55" s="1581"/>
      <c r="C55" s="464"/>
      <c r="D55" s="464"/>
      <c r="E55" s="464"/>
      <c r="F55" s="464"/>
      <c r="G55" s="465">
        <f t="shared" si="0"/>
        <v>0</v>
      </c>
      <c r="H55" s="466"/>
      <c r="I55" s="467">
        <f t="shared" si="1"/>
        <v>0</v>
      </c>
      <c r="J55" s="468"/>
      <c r="K55" s="468"/>
      <c r="L55" s="469"/>
    </row>
    <row r="56" spans="1:12" ht="20.25" customHeight="1" x14ac:dyDescent="0.25">
      <c r="A56" s="463"/>
      <c r="B56" s="1581"/>
      <c r="C56" s="464"/>
      <c r="D56" s="464"/>
      <c r="E56" s="464"/>
      <c r="F56" s="464"/>
      <c r="G56" s="465">
        <f t="shared" si="0"/>
        <v>0</v>
      </c>
      <c r="H56" s="466"/>
      <c r="I56" s="467">
        <f t="shared" si="1"/>
        <v>0</v>
      </c>
      <c r="J56" s="468"/>
      <c r="K56" s="468"/>
      <c r="L56" s="469"/>
    </row>
    <row r="57" spans="1:12" ht="20.25" customHeight="1" x14ac:dyDescent="0.25">
      <c r="A57" s="463"/>
      <c r="B57" s="1581"/>
      <c r="C57" s="464"/>
      <c r="D57" s="464"/>
      <c r="E57" s="464"/>
      <c r="F57" s="464"/>
      <c r="G57" s="465">
        <f t="shared" si="0"/>
        <v>0</v>
      </c>
      <c r="H57" s="466"/>
      <c r="I57" s="467">
        <f t="shared" si="1"/>
        <v>0</v>
      </c>
      <c r="J57" s="468"/>
      <c r="K57" s="468"/>
      <c r="L57" s="469"/>
    </row>
    <row r="58" spans="1:12" ht="20.25" customHeight="1" x14ac:dyDescent="0.25">
      <c r="A58" s="463"/>
      <c r="B58" s="1581"/>
      <c r="C58" s="464"/>
      <c r="D58" s="464"/>
      <c r="E58" s="464"/>
      <c r="F58" s="464"/>
      <c r="G58" s="465">
        <f t="shared" si="0"/>
        <v>0</v>
      </c>
      <c r="H58" s="466"/>
      <c r="I58" s="467">
        <f t="shared" si="1"/>
        <v>0</v>
      </c>
      <c r="J58" s="468"/>
      <c r="K58" s="468"/>
      <c r="L58" s="469"/>
    </row>
    <row r="59" spans="1:12" ht="20.25" customHeight="1" x14ac:dyDescent="0.25">
      <c r="A59" s="463"/>
      <c r="B59" s="1581"/>
      <c r="C59" s="464"/>
      <c r="D59" s="464"/>
      <c r="E59" s="464"/>
      <c r="F59" s="464"/>
      <c r="G59" s="465">
        <f t="shared" si="0"/>
        <v>0</v>
      </c>
      <c r="H59" s="466"/>
      <c r="I59" s="467">
        <f t="shared" si="1"/>
        <v>0</v>
      </c>
      <c r="J59" s="468"/>
      <c r="K59" s="468"/>
      <c r="L59" s="469"/>
    </row>
    <row r="60" spans="1:12" ht="20.25" customHeight="1" x14ac:dyDescent="0.25">
      <c r="A60" s="463"/>
      <c r="B60" s="1581"/>
      <c r="C60" s="464"/>
      <c r="D60" s="464"/>
      <c r="E60" s="464"/>
      <c r="F60" s="464"/>
      <c r="G60" s="465">
        <f t="shared" si="0"/>
        <v>0</v>
      </c>
      <c r="H60" s="466"/>
      <c r="I60" s="467">
        <f t="shared" si="1"/>
        <v>0</v>
      </c>
      <c r="J60" s="468"/>
      <c r="K60" s="468"/>
      <c r="L60" s="469"/>
    </row>
    <row r="61" spans="1:12" ht="20.25" customHeight="1" x14ac:dyDescent="0.25">
      <c r="A61" s="463"/>
      <c r="B61" s="1581"/>
      <c r="C61" s="464"/>
      <c r="D61" s="464"/>
      <c r="E61" s="464"/>
      <c r="F61" s="464"/>
      <c r="G61" s="465">
        <f t="shared" si="0"/>
        <v>0</v>
      </c>
      <c r="H61" s="466"/>
      <c r="I61" s="467">
        <f t="shared" si="1"/>
        <v>0</v>
      </c>
      <c r="J61" s="468"/>
      <c r="K61" s="468"/>
      <c r="L61" s="469"/>
    </row>
    <row r="62" spans="1:12" ht="20.25" customHeight="1" x14ac:dyDescent="0.25">
      <c r="A62" s="463"/>
      <c r="B62" s="1581"/>
      <c r="C62" s="464"/>
      <c r="D62" s="464"/>
      <c r="E62" s="464"/>
      <c r="F62" s="464"/>
      <c r="G62" s="465">
        <f t="shared" si="0"/>
        <v>0</v>
      </c>
      <c r="H62" s="466"/>
      <c r="I62" s="467">
        <f t="shared" si="1"/>
        <v>0</v>
      </c>
      <c r="J62" s="468"/>
      <c r="K62" s="468"/>
      <c r="L62" s="469"/>
    </row>
    <row r="63" spans="1:12" ht="20.25" customHeight="1" x14ac:dyDescent="0.25">
      <c r="A63" s="463"/>
      <c r="B63" s="494"/>
      <c r="C63" s="464"/>
      <c r="D63" s="464"/>
      <c r="E63" s="464"/>
      <c r="F63" s="464"/>
      <c r="G63" s="465">
        <f t="shared" si="0"/>
        <v>0</v>
      </c>
      <c r="H63" s="466"/>
      <c r="I63" s="467">
        <f t="shared" si="1"/>
        <v>0</v>
      </c>
      <c r="J63" s="468"/>
      <c r="K63" s="468"/>
      <c r="L63" s="469"/>
    </row>
    <row r="64" spans="1:12" ht="20.25" customHeight="1" x14ac:dyDescent="0.25">
      <c r="A64" s="463"/>
      <c r="B64" s="494"/>
      <c r="C64" s="464"/>
      <c r="D64" s="464"/>
      <c r="E64" s="464"/>
      <c r="F64" s="464"/>
      <c r="G64" s="465">
        <f t="shared" si="0"/>
        <v>0</v>
      </c>
      <c r="H64" s="466"/>
      <c r="I64" s="467">
        <f t="shared" si="1"/>
        <v>0</v>
      </c>
      <c r="J64" s="468"/>
      <c r="K64" s="468"/>
      <c r="L64" s="469"/>
    </row>
    <row r="65" spans="1:12" ht="20.25" customHeight="1" x14ac:dyDescent="0.25">
      <c r="A65" s="463"/>
      <c r="B65" s="494"/>
      <c r="C65" s="464"/>
      <c r="D65" s="464"/>
      <c r="E65" s="464"/>
      <c r="F65" s="464"/>
      <c r="G65" s="465">
        <f t="shared" si="0"/>
        <v>0</v>
      </c>
      <c r="H65" s="466"/>
      <c r="I65" s="467">
        <f t="shared" si="1"/>
        <v>0</v>
      </c>
      <c r="J65" s="468"/>
      <c r="K65" s="468"/>
      <c r="L65" s="469"/>
    </row>
    <row r="66" spans="1:12" ht="20.25" customHeight="1" x14ac:dyDescent="0.25">
      <c r="A66" s="463"/>
      <c r="B66" s="494"/>
      <c r="C66" s="464"/>
      <c r="D66" s="464"/>
      <c r="E66" s="464"/>
      <c r="F66" s="464"/>
      <c r="G66" s="465">
        <f t="shared" si="0"/>
        <v>0</v>
      </c>
      <c r="H66" s="466"/>
      <c r="I66" s="467">
        <f t="shared" si="1"/>
        <v>0</v>
      </c>
      <c r="J66" s="468"/>
      <c r="K66" s="468"/>
      <c r="L66" s="469"/>
    </row>
    <row r="67" spans="1:12" ht="20.25" customHeight="1" x14ac:dyDescent="0.25">
      <c r="A67" s="463"/>
      <c r="B67" s="494"/>
      <c r="C67" s="464"/>
      <c r="D67" s="464"/>
      <c r="E67" s="464"/>
      <c r="F67" s="464"/>
      <c r="G67" s="465">
        <f t="shared" si="0"/>
        <v>0</v>
      </c>
      <c r="H67" s="466"/>
      <c r="I67" s="467">
        <f t="shared" si="1"/>
        <v>0</v>
      </c>
      <c r="J67" s="468"/>
      <c r="K67" s="468"/>
      <c r="L67" s="469"/>
    </row>
    <row r="68" spans="1:12" ht="20.25" customHeight="1" x14ac:dyDescent="0.25">
      <c r="A68" s="463"/>
      <c r="B68" s="494"/>
      <c r="C68" s="464"/>
      <c r="D68" s="464"/>
      <c r="E68" s="464"/>
      <c r="F68" s="464"/>
      <c r="G68" s="465">
        <f t="shared" si="0"/>
        <v>0</v>
      </c>
      <c r="H68" s="466"/>
      <c r="I68" s="467">
        <f t="shared" si="1"/>
        <v>0</v>
      </c>
      <c r="J68" s="468"/>
      <c r="K68" s="468"/>
      <c r="L68" s="469"/>
    </row>
    <row r="69" spans="1:12" ht="20.25" customHeight="1" x14ac:dyDescent="0.25">
      <c r="A69" s="463"/>
      <c r="B69" s="1581"/>
      <c r="C69" s="464"/>
      <c r="D69" s="464"/>
      <c r="E69" s="464"/>
      <c r="F69" s="464"/>
      <c r="G69" s="465">
        <f t="shared" si="0"/>
        <v>0</v>
      </c>
      <c r="H69" s="466"/>
      <c r="I69" s="467">
        <f t="shared" si="1"/>
        <v>0</v>
      </c>
      <c r="J69" s="468"/>
      <c r="K69" s="468"/>
      <c r="L69" s="469"/>
    </row>
    <row r="70" spans="1:12" ht="27" customHeight="1" x14ac:dyDescent="0.25">
      <c r="A70" s="463"/>
      <c r="B70" s="1581"/>
      <c r="C70" s="470"/>
      <c r="D70" s="464"/>
      <c r="E70" s="464"/>
      <c r="F70" s="464"/>
      <c r="G70" s="465">
        <f t="shared" si="0"/>
        <v>0</v>
      </c>
      <c r="H70" s="466"/>
      <c r="I70" s="467">
        <f t="shared" si="1"/>
        <v>0</v>
      </c>
      <c r="J70" s="468"/>
      <c r="K70" s="468"/>
      <c r="L70" s="469"/>
    </row>
    <row r="71" spans="1:12" ht="27" customHeight="1" x14ac:dyDescent="0.25">
      <c r="A71" s="463"/>
      <c r="B71" s="1581"/>
      <c r="C71" s="470"/>
      <c r="D71" s="464"/>
      <c r="E71" s="464"/>
      <c r="F71" s="464"/>
      <c r="G71" s="465">
        <f t="shared" si="0"/>
        <v>0</v>
      </c>
      <c r="H71" s="466"/>
      <c r="I71" s="467">
        <f t="shared" si="1"/>
        <v>0</v>
      </c>
      <c r="J71" s="468"/>
      <c r="K71" s="468"/>
      <c r="L71" s="469"/>
    </row>
    <row r="72" spans="1:12" ht="27" customHeight="1" x14ac:dyDescent="0.25">
      <c r="A72" s="463"/>
      <c r="B72" s="1581"/>
      <c r="C72" s="464"/>
      <c r="D72" s="464"/>
      <c r="E72" s="464"/>
      <c r="F72" s="464"/>
      <c r="G72" s="465">
        <f t="shared" si="0"/>
        <v>0</v>
      </c>
      <c r="H72" s="466"/>
      <c r="I72" s="467">
        <f t="shared" si="1"/>
        <v>0</v>
      </c>
      <c r="J72" s="468"/>
      <c r="K72" s="468"/>
      <c r="L72" s="469"/>
    </row>
    <row r="73" spans="1:12" ht="18" customHeight="1" x14ac:dyDescent="0.25">
      <c r="A73" s="463"/>
      <c r="B73" s="1581"/>
      <c r="C73" s="464"/>
      <c r="D73" s="464"/>
      <c r="E73" s="464"/>
      <c r="F73" s="464"/>
      <c r="G73" s="465">
        <f t="shared" si="0"/>
        <v>0</v>
      </c>
      <c r="H73" s="466"/>
      <c r="I73" s="467">
        <f t="shared" si="1"/>
        <v>0</v>
      </c>
      <c r="J73" s="468"/>
      <c r="K73" s="468"/>
      <c r="L73" s="469"/>
    </row>
    <row r="74" spans="1:12" ht="18" customHeight="1" x14ac:dyDescent="0.25">
      <c r="A74" s="463"/>
      <c r="B74" s="1581"/>
      <c r="C74" s="464"/>
      <c r="D74" s="464"/>
      <c r="E74" s="464"/>
      <c r="F74" s="464"/>
      <c r="G74" s="465">
        <f t="shared" si="0"/>
        <v>0</v>
      </c>
      <c r="H74" s="466"/>
      <c r="I74" s="467">
        <f t="shared" si="1"/>
        <v>0</v>
      </c>
      <c r="J74" s="468"/>
      <c r="K74" s="468"/>
      <c r="L74" s="469"/>
    </row>
    <row r="75" spans="1:12" ht="18" customHeight="1" x14ac:dyDescent="0.25">
      <c r="A75" s="463"/>
      <c r="B75" s="494"/>
      <c r="C75" s="464"/>
      <c r="D75" s="464"/>
      <c r="E75" s="464"/>
      <c r="F75" s="464"/>
      <c r="G75" s="465">
        <f t="shared" si="0"/>
        <v>0</v>
      </c>
      <c r="H75" s="466"/>
      <c r="I75" s="467">
        <f t="shared" si="1"/>
        <v>0</v>
      </c>
      <c r="J75" s="468"/>
      <c r="K75" s="468"/>
      <c r="L75" s="469"/>
    </row>
    <row r="76" spans="1:12" ht="18" customHeight="1" x14ac:dyDescent="0.25">
      <c r="A76" s="463"/>
      <c r="B76" s="1581"/>
      <c r="C76" s="464"/>
      <c r="D76" s="464"/>
      <c r="E76" s="464"/>
      <c r="F76" s="464"/>
      <c r="G76" s="465">
        <f t="shared" si="0"/>
        <v>0</v>
      </c>
      <c r="H76" s="466"/>
      <c r="I76" s="467">
        <f t="shared" si="1"/>
        <v>0</v>
      </c>
      <c r="J76" s="468"/>
      <c r="K76" s="468"/>
      <c r="L76" s="469"/>
    </row>
    <row r="77" spans="1:12" ht="18" customHeight="1" x14ac:dyDescent="0.25">
      <c r="A77" s="463"/>
      <c r="B77" s="1581"/>
      <c r="C77" s="464"/>
      <c r="D77" s="464"/>
      <c r="E77" s="464"/>
      <c r="F77" s="464"/>
      <c r="G77" s="465">
        <f t="shared" si="0"/>
        <v>0</v>
      </c>
      <c r="H77" s="466"/>
      <c r="I77" s="467">
        <f t="shared" si="1"/>
        <v>0</v>
      </c>
      <c r="J77" s="468"/>
      <c r="K77" s="468"/>
      <c r="L77" s="469"/>
    </row>
    <row r="78" spans="1:12" ht="18" customHeight="1" x14ac:dyDescent="0.25">
      <c r="A78" s="463"/>
      <c r="B78" s="1581"/>
      <c r="C78" s="464"/>
      <c r="D78" s="464"/>
      <c r="E78" s="464"/>
      <c r="F78" s="464"/>
      <c r="G78" s="465">
        <f t="shared" si="0"/>
        <v>0</v>
      </c>
      <c r="H78" s="466"/>
      <c r="I78" s="467">
        <f t="shared" si="1"/>
        <v>0</v>
      </c>
      <c r="J78" s="468"/>
      <c r="K78" s="468"/>
      <c r="L78" s="469"/>
    </row>
    <row r="79" spans="1:12" x14ac:dyDescent="0.25">
      <c r="A79" s="471"/>
      <c r="B79" s="472" t="s">
        <v>896</v>
      </c>
      <c r="C79" s="473">
        <f t="shared" ref="C79:I79" si="2">SUM(C24:C78)</f>
        <v>1000</v>
      </c>
      <c r="D79" s="473">
        <f t="shared" si="2"/>
        <v>1000</v>
      </c>
      <c r="E79" s="473">
        <f t="shared" si="2"/>
        <v>0</v>
      </c>
      <c r="F79" s="473">
        <f t="shared" si="2"/>
        <v>0</v>
      </c>
      <c r="G79" s="474">
        <f t="shared" si="2"/>
        <v>0</v>
      </c>
      <c r="H79" s="475">
        <f t="shared" si="2"/>
        <v>0</v>
      </c>
      <c r="I79" s="475">
        <f t="shared" si="2"/>
        <v>0</v>
      </c>
      <c r="J79" s="475"/>
      <c r="K79" s="475"/>
      <c r="L79" s="469"/>
    </row>
    <row r="80" spans="1:12" ht="15.75" thickBot="1" x14ac:dyDescent="0.3">
      <c r="A80" s="471"/>
      <c r="B80" s="476" t="s">
        <v>897</v>
      </c>
      <c r="C80" s="477"/>
      <c r="D80" s="478">
        <f>IF(D79&lt;=0,"",(D79/C79)*100)</f>
        <v>100</v>
      </c>
      <c r="E80" s="479"/>
      <c r="F80" s="479"/>
      <c r="G80" s="480">
        <f>IFERROR(IF(G79&lt;=0,0,+G79/$C$79),0)</f>
        <v>0</v>
      </c>
      <c r="H80" s="481">
        <f>IFERROR(IF(H79&lt;=0,0,+H79/C79),0)</f>
        <v>0</v>
      </c>
      <c r="I80" s="482">
        <f>IFERROR(IF(I79&lt;=0,0,I79/C79),0)</f>
        <v>0</v>
      </c>
      <c r="J80" s="483"/>
      <c r="K80" s="482"/>
      <c r="L80" s="469"/>
    </row>
    <row r="81" spans="1:12" ht="15.75" thickTop="1" x14ac:dyDescent="0.25">
      <c r="A81" s="471"/>
      <c r="B81" s="484"/>
      <c r="C81" s="484"/>
      <c r="D81" s="485"/>
      <c r="E81" s="484"/>
      <c r="F81" s="484"/>
      <c r="G81" s="486"/>
      <c r="H81" s="487"/>
      <c r="I81" s="488"/>
      <c r="J81" s="488"/>
      <c r="K81" s="488"/>
      <c r="L81" s="489"/>
    </row>
    <row r="82" spans="1:12" ht="93" customHeight="1" x14ac:dyDescent="0.25">
      <c r="A82" s="458" t="s">
        <v>881</v>
      </c>
      <c r="B82" s="490" t="s">
        <v>898</v>
      </c>
      <c r="C82" s="459" t="s">
        <v>883</v>
      </c>
      <c r="D82" s="459" t="s">
        <v>884</v>
      </c>
      <c r="E82" s="459" t="s">
        <v>885</v>
      </c>
      <c r="F82" s="459" t="s">
        <v>886</v>
      </c>
      <c r="G82" s="490" t="s">
        <v>887</v>
      </c>
      <c r="H82" s="490" t="s">
        <v>888</v>
      </c>
      <c r="I82" s="490" t="s">
        <v>889</v>
      </c>
      <c r="J82" s="490" t="s">
        <v>890</v>
      </c>
      <c r="K82" s="490" t="s">
        <v>891</v>
      </c>
      <c r="L82" s="491" t="s">
        <v>892</v>
      </c>
    </row>
    <row r="83" spans="1:12" ht="24" customHeight="1" x14ac:dyDescent="0.25">
      <c r="A83" s="463">
        <v>11</v>
      </c>
      <c r="B83" s="1581" t="s">
        <v>1776</v>
      </c>
      <c r="C83" s="492">
        <v>1000</v>
      </c>
      <c r="D83" s="492">
        <v>1000</v>
      </c>
      <c r="E83" s="492"/>
      <c r="F83" s="464"/>
      <c r="G83" s="465">
        <f t="shared" ref="G83:G101" si="3">+E83+F83</f>
        <v>0</v>
      </c>
      <c r="H83" s="466"/>
      <c r="I83" s="493">
        <f t="shared" ref="I83:I97" si="4">G83+H83</f>
        <v>0</v>
      </c>
      <c r="J83" s="468"/>
      <c r="K83" s="468"/>
      <c r="L83" s="469"/>
    </row>
    <row r="84" spans="1:12" ht="24" customHeight="1" x14ac:dyDescent="0.25">
      <c r="A84" s="463"/>
      <c r="B84" s="1581"/>
      <c r="C84" s="492"/>
      <c r="D84" s="492"/>
      <c r="E84" s="492"/>
      <c r="F84" s="464"/>
      <c r="G84" s="465">
        <f t="shared" si="3"/>
        <v>0</v>
      </c>
      <c r="H84" s="466"/>
      <c r="I84" s="493">
        <f t="shared" si="4"/>
        <v>0</v>
      </c>
      <c r="J84" s="468"/>
      <c r="K84" s="468"/>
      <c r="L84" s="469"/>
    </row>
    <row r="85" spans="1:12" ht="24" customHeight="1" x14ac:dyDescent="0.25">
      <c r="A85" s="463"/>
      <c r="B85" s="1581"/>
      <c r="C85" s="492"/>
      <c r="D85" s="492"/>
      <c r="E85" s="492"/>
      <c r="F85" s="464"/>
      <c r="G85" s="465">
        <f t="shared" si="3"/>
        <v>0</v>
      </c>
      <c r="H85" s="466"/>
      <c r="I85" s="493">
        <f t="shared" si="4"/>
        <v>0</v>
      </c>
      <c r="J85" s="468"/>
      <c r="K85" s="468"/>
      <c r="L85" s="469"/>
    </row>
    <row r="86" spans="1:12" ht="24" customHeight="1" x14ac:dyDescent="0.25">
      <c r="A86" s="463"/>
      <c r="B86" s="1581"/>
      <c r="C86" s="492"/>
      <c r="D86" s="492"/>
      <c r="E86" s="492"/>
      <c r="F86" s="464"/>
      <c r="G86" s="465">
        <f t="shared" si="3"/>
        <v>0</v>
      </c>
      <c r="H86" s="466"/>
      <c r="I86" s="493">
        <f t="shared" si="4"/>
        <v>0</v>
      </c>
      <c r="J86" s="468"/>
      <c r="K86" s="468"/>
      <c r="L86" s="469"/>
    </row>
    <row r="87" spans="1:12" ht="24" customHeight="1" x14ac:dyDescent="0.25">
      <c r="A87" s="463"/>
      <c r="B87" s="1581"/>
      <c r="C87" s="492"/>
      <c r="D87" s="492"/>
      <c r="E87" s="492"/>
      <c r="F87" s="464"/>
      <c r="G87" s="465">
        <f t="shared" si="3"/>
        <v>0</v>
      </c>
      <c r="H87" s="466"/>
      <c r="I87" s="493">
        <f t="shared" si="4"/>
        <v>0</v>
      </c>
      <c r="J87" s="468"/>
      <c r="K87" s="468"/>
      <c r="L87" s="469"/>
    </row>
    <row r="88" spans="1:12" ht="24" customHeight="1" x14ac:dyDescent="0.25">
      <c r="A88" s="463"/>
      <c r="B88" s="1581"/>
      <c r="C88" s="492"/>
      <c r="D88" s="492"/>
      <c r="E88" s="492"/>
      <c r="F88" s="464"/>
      <c r="G88" s="465">
        <f t="shared" si="3"/>
        <v>0</v>
      </c>
      <c r="H88" s="466"/>
      <c r="I88" s="493">
        <f t="shared" si="4"/>
        <v>0</v>
      </c>
      <c r="J88" s="468"/>
      <c r="K88" s="468"/>
      <c r="L88" s="469"/>
    </row>
    <row r="89" spans="1:12" ht="24" customHeight="1" x14ac:dyDescent="0.25">
      <c r="A89" s="463"/>
      <c r="B89" s="1581"/>
      <c r="C89" s="492"/>
      <c r="D89" s="492"/>
      <c r="E89" s="492"/>
      <c r="F89" s="464"/>
      <c r="G89" s="465">
        <f t="shared" si="3"/>
        <v>0</v>
      </c>
      <c r="H89" s="466"/>
      <c r="I89" s="493">
        <f t="shared" si="4"/>
        <v>0</v>
      </c>
      <c r="J89" s="468"/>
      <c r="K89" s="468"/>
      <c r="L89" s="469"/>
    </row>
    <row r="90" spans="1:12" ht="24" customHeight="1" x14ac:dyDescent="0.25">
      <c r="A90" s="463"/>
      <c r="B90" s="1581"/>
      <c r="C90" s="492"/>
      <c r="D90" s="492"/>
      <c r="E90" s="492"/>
      <c r="F90" s="464"/>
      <c r="G90" s="465">
        <f t="shared" si="3"/>
        <v>0</v>
      </c>
      <c r="H90" s="466"/>
      <c r="I90" s="493">
        <f t="shared" si="4"/>
        <v>0</v>
      </c>
      <c r="J90" s="468"/>
      <c r="K90" s="468"/>
      <c r="L90" s="469"/>
    </row>
    <row r="91" spans="1:12" ht="24" customHeight="1" x14ac:dyDescent="0.25">
      <c r="A91" s="463"/>
      <c r="B91" s="1581"/>
      <c r="C91" s="492"/>
      <c r="D91" s="492"/>
      <c r="E91" s="492"/>
      <c r="F91" s="464"/>
      <c r="G91" s="465">
        <f t="shared" si="3"/>
        <v>0</v>
      </c>
      <c r="H91" s="466"/>
      <c r="I91" s="493">
        <f t="shared" si="4"/>
        <v>0</v>
      </c>
      <c r="J91" s="468"/>
      <c r="K91" s="468"/>
      <c r="L91" s="469"/>
    </row>
    <row r="92" spans="1:12" ht="24" customHeight="1" x14ac:dyDescent="0.25">
      <c r="A92" s="463"/>
      <c r="B92" s="1581"/>
      <c r="C92" s="492"/>
      <c r="D92" s="492"/>
      <c r="E92" s="492"/>
      <c r="F92" s="464"/>
      <c r="G92" s="465">
        <f t="shared" si="3"/>
        <v>0</v>
      </c>
      <c r="H92" s="466"/>
      <c r="I92" s="493">
        <f t="shared" si="4"/>
        <v>0</v>
      </c>
      <c r="J92" s="468"/>
      <c r="K92" s="468"/>
      <c r="L92" s="469"/>
    </row>
    <row r="93" spans="1:12" ht="24" customHeight="1" x14ac:dyDescent="0.25">
      <c r="A93" s="463"/>
      <c r="B93" s="1581"/>
      <c r="C93" s="492"/>
      <c r="D93" s="492"/>
      <c r="E93" s="492"/>
      <c r="F93" s="464"/>
      <c r="G93" s="465">
        <f t="shared" si="3"/>
        <v>0</v>
      </c>
      <c r="H93" s="466"/>
      <c r="I93" s="493">
        <f t="shared" si="4"/>
        <v>0</v>
      </c>
      <c r="J93" s="468"/>
      <c r="K93" s="468"/>
      <c r="L93" s="469"/>
    </row>
    <row r="94" spans="1:12" ht="24" customHeight="1" x14ac:dyDescent="0.25">
      <c r="A94" s="463"/>
      <c r="B94" s="1581"/>
      <c r="C94" s="492"/>
      <c r="D94" s="492"/>
      <c r="E94" s="492"/>
      <c r="F94" s="464"/>
      <c r="G94" s="465">
        <f t="shared" si="3"/>
        <v>0</v>
      </c>
      <c r="H94" s="466"/>
      <c r="I94" s="493">
        <f t="shared" si="4"/>
        <v>0</v>
      </c>
      <c r="J94" s="468"/>
      <c r="K94" s="468"/>
      <c r="L94" s="469"/>
    </row>
    <row r="95" spans="1:12" ht="24" customHeight="1" x14ac:dyDescent="0.25">
      <c r="A95" s="463"/>
      <c r="B95" s="1581"/>
      <c r="C95" s="492"/>
      <c r="D95" s="492"/>
      <c r="E95" s="492"/>
      <c r="F95" s="464"/>
      <c r="G95" s="465">
        <f t="shared" si="3"/>
        <v>0</v>
      </c>
      <c r="H95" s="466"/>
      <c r="I95" s="493">
        <f t="shared" si="4"/>
        <v>0</v>
      </c>
      <c r="J95" s="468"/>
      <c r="K95" s="468"/>
      <c r="L95" s="469"/>
    </row>
    <row r="96" spans="1:12" ht="24" customHeight="1" x14ac:dyDescent="0.25">
      <c r="A96" s="463"/>
      <c r="B96" s="1581"/>
      <c r="C96" s="492"/>
      <c r="D96" s="492"/>
      <c r="E96" s="492"/>
      <c r="F96" s="464"/>
      <c r="G96" s="465">
        <f t="shared" si="3"/>
        <v>0</v>
      </c>
      <c r="H96" s="466"/>
      <c r="I96" s="493">
        <f t="shared" si="4"/>
        <v>0</v>
      </c>
      <c r="J96" s="468"/>
      <c r="K96" s="468"/>
      <c r="L96" s="469"/>
    </row>
    <row r="97" spans="1:12" ht="24" customHeight="1" x14ac:dyDescent="0.25">
      <c r="A97" s="463"/>
      <c r="B97" s="1581"/>
      <c r="C97" s="492"/>
      <c r="D97" s="492"/>
      <c r="E97" s="492"/>
      <c r="F97" s="464"/>
      <c r="G97" s="465">
        <f t="shared" si="3"/>
        <v>0</v>
      </c>
      <c r="H97" s="466"/>
      <c r="I97" s="493">
        <f t="shared" si="4"/>
        <v>0</v>
      </c>
      <c r="J97" s="468"/>
      <c r="K97" s="468"/>
      <c r="L97" s="469"/>
    </row>
    <row r="98" spans="1:12" ht="24" customHeight="1" x14ac:dyDescent="0.25">
      <c r="A98" s="463"/>
      <c r="B98" s="1581"/>
      <c r="C98" s="492"/>
      <c r="D98" s="492"/>
      <c r="E98" s="492"/>
      <c r="F98" s="464"/>
      <c r="G98" s="465">
        <f t="shared" si="3"/>
        <v>0</v>
      </c>
      <c r="H98" s="466"/>
      <c r="I98" s="493">
        <f t="shared" ref="I98:I121" si="5">G98+H98</f>
        <v>0</v>
      </c>
      <c r="J98" s="468"/>
      <c r="K98" s="468"/>
      <c r="L98" s="469"/>
    </row>
    <row r="99" spans="1:12" ht="24" customHeight="1" x14ac:dyDescent="0.25">
      <c r="A99" s="463"/>
      <c r="B99" s="1581"/>
      <c r="C99" s="492"/>
      <c r="D99" s="492"/>
      <c r="E99" s="492"/>
      <c r="F99" s="464"/>
      <c r="G99" s="465">
        <f t="shared" si="3"/>
        <v>0</v>
      </c>
      <c r="H99" s="466"/>
      <c r="I99" s="493">
        <f t="shared" si="5"/>
        <v>0</v>
      </c>
      <c r="J99" s="468"/>
      <c r="K99" s="468"/>
      <c r="L99" s="469"/>
    </row>
    <row r="100" spans="1:12" ht="24" customHeight="1" x14ac:dyDescent="0.25">
      <c r="A100" s="463"/>
      <c r="B100" s="1581"/>
      <c r="C100" s="492"/>
      <c r="D100" s="492"/>
      <c r="E100" s="492"/>
      <c r="F100" s="464"/>
      <c r="G100" s="465">
        <f t="shared" si="3"/>
        <v>0</v>
      </c>
      <c r="H100" s="466"/>
      <c r="I100" s="493">
        <f t="shared" si="5"/>
        <v>0</v>
      </c>
      <c r="J100" s="468"/>
      <c r="K100" s="468"/>
      <c r="L100" s="469"/>
    </row>
    <row r="101" spans="1:12" ht="24" customHeight="1" x14ac:dyDescent="0.25">
      <c r="A101" s="463"/>
      <c r="B101" s="1581"/>
      <c r="C101" s="492"/>
      <c r="D101" s="492"/>
      <c r="E101" s="492"/>
      <c r="F101" s="464"/>
      <c r="G101" s="465">
        <f t="shared" si="3"/>
        <v>0</v>
      </c>
      <c r="H101" s="466"/>
      <c r="I101" s="493">
        <f t="shared" si="5"/>
        <v>0</v>
      </c>
      <c r="J101" s="468"/>
      <c r="K101" s="468"/>
      <c r="L101" s="469"/>
    </row>
    <row r="102" spans="1:12" ht="24" customHeight="1" x14ac:dyDescent="0.25">
      <c r="A102" s="463"/>
      <c r="B102" s="1581"/>
      <c r="C102" s="492"/>
      <c r="D102" s="492"/>
      <c r="E102" s="492"/>
      <c r="F102" s="464"/>
      <c r="G102" s="465">
        <f t="shared" ref="G102:G121" si="6">+E102+F102</f>
        <v>0</v>
      </c>
      <c r="H102" s="466"/>
      <c r="I102" s="493">
        <f t="shared" si="5"/>
        <v>0</v>
      </c>
      <c r="J102" s="468"/>
      <c r="K102" s="468"/>
      <c r="L102" s="469"/>
    </row>
    <row r="103" spans="1:12" ht="24" customHeight="1" x14ac:dyDescent="0.25">
      <c r="A103" s="463"/>
      <c r="B103" s="1581"/>
      <c r="C103" s="492"/>
      <c r="D103" s="492"/>
      <c r="E103" s="492"/>
      <c r="F103" s="464"/>
      <c r="G103" s="465">
        <f t="shared" si="6"/>
        <v>0</v>
      </c>
      <c r="H103" s="466"/>
      <c r="I103" s="493">
        <f t="shared" si="5"/>
        <v>0</v>
      </c>
      <c r="J103" s="468"/>
      <c r="K103" s="468"/>
      <c r="L103" s="469"/>
    </row>
    <row r="104" spans="1:12" ht="24" customHeight="1" x14ac:dyDescent="0.25">
      <c r="A104" s="463"/>
      <c r="B104" s="1581"/>
      <c r="C104" s="492"/>
      <c r="D104" s="492"/>
      <c r="E104" s="492"/>
      <c r="F104" s="464"/>
      <c r="G104" s="465">
        <f t="shared" si="6"/>
        <v>0</v>
      </c>
      <c r="H104" s="466"/>
      <c r="I104" s="493">
        <f t="shared" si="5"/>
        <v>0</v>
      </c>
      <c r="J104" s="468"/>
      <c r="K104" s="468"/>
      <c r="L104" s="469"/>
    </row>
    <row r="105" spans="1:12" ht="24" customHeight="1" x14ac:dyDescent="0.25">
      <c r="A105" s="463"/>
      <c r="B105" s="1581"/>
      <c r="C105" s="492"/>
      <c r="D105" s="492"/>
      <c r="E105" s="492"/>
      <c r="F105" s="464"/>
      <c r="G105" s="465">
        <f t="shared" si="6"/>
        <v>0</v>
      </c>
      <c r="H105" s="466"/>
      <c r="I105" s="493">
        <f t="shared" si="5"/>
        <v>0</v>
      </c>
      <c r="J105" s="468"/>
      <c r="K105" s="468"/>
      <c r="L105" s="469"/>
    </row>
    <row r="106" spans="1:12" ht="24" customHeight="1" x14ac:dyDescent="0.25">
      <c r="A106" s="463"/>
      <c r="B106" s="1581"/>
      <c r="C106" s="492"/>
      <c r="D106" s="492"/>
      <c r="E106" s="492"/>
      <c r="F106" s="464"/>
      <c r="G106" s="465">
        <f t="shared" si="6"/>
        <v>0</v>
      </c>
      <c r="H106" s="466"/>
      <c r="I106" s="493">
        <f t="shared" si="5"/>
        <v>0</v>
      </c>
      <c r="J106" s="468"/>
      <c r="K106" s="468"/>
      <c r="L106" s="469"/>
    </row>
    <row r="107" spans="1:12" ht="24" customHeight="1" x14ac:dyDescent="0.25">
      <c r="A107" s="463"/>
      <c r="B107" s="1581"/>
      <c r="C107" s="492"/>
      <c r="D107" s="492"/>
      <c r="E107" s="492"/>
      <c r="F107" s="464"/>
      <c r="G107" s="465">
        <f t="shared" si="6"/>
        <v>0</v>
      </c>
      <c r="H107" s="466"/>
      <c r="I107" s="493">
        <f t="shared" si="5"/>
        <v>0</v>
      </c>
      <c r="J107" s="468"/>
      <c r="K107" s="468"/>
      <c r="L107" s="469"/>
    </row>
    <row r="108" spans="1:12" ht="24" customHeight="1" x14ac:dyDescent="0.25">
      <c r="A108" s="463"/>
      <c r="B108" s="1581"/>
      <c r="C108" s="492"/>
      <c r="D108" s="492"/>
      <c r="E108" s="492"/>
      <c r="F108" s="464"/>
      <c r="G108" s="465">
        <f t="shared" si="6"/>
        <v>0</v>
      </c>
      <c r="H108" s="466"/>
      <c r="I108" s="493">
        <f t="shared" si="5"/>
        <v>0</v>
      </c>
      <c r="J108" s="468"/>
      <c r="K108" s="468"/>
      <c r="L108" s="469"/>
    </row>
    <row r="109" spans="1:12" ht="24" customHeight="1" x14ac:dyDescent="0.25">
      <c r="A109" s="463"/>
      <c r="B109" s="1581"/>
      <c r="C109" s="492"/>
      <c r="D109" s="492"/>
      <c r="E109" s="492"/>
      <c r="F109" s="464"/>
      <c r="G109" s="465">
        <f t="shared" si="6"/>
        <v>0</v>
      </c>
      <c r="H109" s="466"/>
      <c r="I109" s="493">
        <f t="shared" si="5"/>
        <v>0</v>
      </c>
      <c r="J109" s="468"/>
      <c r="K109" s="468"/>
      <c r="L109" s="469"/>
    </row>
    <row r="110" spans="1:12" ht="24" customHeight="1" x14ac:dyDescent="0.25">
      <c r="A110" s="463"/>
      <c r="B110" s="1581"/>
      <c r="C110" s="492"/>
      <c r="D110" s="492"/>
      <c r="E110" s="492"/>
      <c r="F110" s="464"/>
      <c r="G110" s="465">
        <f t="shared" si="6"/>
        <v>0</v>
      </c>
      <c r="H110" s="466"/>
      <c r="I110" s="493">
        <f t="shared" si="5"/>
        <v>0</v>
      </c>
      <c r="J110" s="468"/>
      <c r="K110" s="468"/>
      <c r="L110" s="469"/>
    </row>
    <row r="111" spans="1:12" ht="24" customHeight="1" x14ac:dyDescent="0.25">
      <c r="A111" s="463"/>
      <c r="B111" s="1581"/>
      <c r="C111" s="492"/>
      <c r="D111" s="492"/>
      <c r="E111" s="492"/>
      <c r="F111" s="464"/>
      <c r="G111" s="465">
        <f t="shared" si="6"/>
        <v>0</v>
      </c>
      <c r="H111" s="466"/>
      <c r="I111" s="493">
        <f t="shared" si="5"/>
        <v>0</v>
      </c>
      <c r="J111" s="468"/>
      <c r="K111" s="468"/>
      <c r="L111" s="469"/>
    </row>
    <row r="112" spans="1:12" ht="33.75" hidden="1" customHeight="1" x14ac:dyDescent="0.25">
      <c r="A112" s="463"/>
      <c r="B112" s="494"/>
      <c r="C112" s="464"/>
      <c r="D112" s="464"/>
      <c r="E112" s="464"/>
      <c r="F112" s="464"/>
      <c r="G112" s="465">
        <f t="shared" si="6"/>
        <v>0</v>
      </c>
      <c r="H112" s="466"/>
      <c r="I112" s="493">
        <f t="shared" si="5"/>
        <v>0</v>
      </c>
      <c r="J112" s="468"/>
      <c r="K112" s="468"/>
      <c r="L112" s="469"/>
    </row>
    <row r="113" spans="1:12" ht="26.25" hidden="1" customHeight="1" x14ac:dyDescent="0.25">
      <c r="A113" s="463"/>
      <c r="B113" s="494"/>
      <c r="C113" s="464"/>
      <c r="D113" s="493"/>
      <c r="E113" s="464"/>
      <c r="F113" s="464"/>
      <c r="G113" s="465">
        <f t="shared" si="6"/>
        <v>0</v>
      </c>
      <c r="H113" s="466"/>
      <c r="I113" s="493">
        <f t="shared" si="5"/>
        <v>0</v>
      </c>
      <c r="J113" s="468"/>
      <c r="K113" s="468"/>
      <c r="L113" s="469"/>
    </row>
    <row r="114" spans="1:12" ht="36" hidden="1" customHeight="1" x14ac:dyDescent="0.25">
      <c r="A114" s="463"/>
      <c r="B114" s="494"/>
      <c r="C114" s="464"/>
      <c r="D114" s="464"/>
      <c r="E114" s="464"/>
      <c r="F114" s="495"/>
      <c r="G114" s="465">
        <f t="shared" si="6"/>
        <v>0</v>
      </c>
      <c r="H114" s="466"/>
      <c r="I114" s="493">
        <f t="shared" si="5"/>
        <v>0</v>
      </c>
      <c r="J114" s="468"/>
      <c r="K114" s="468"/>
      <c r="L114" s="469"/>
    </row>
    <row r="115" spans="1:12" ht="26.25" hidden="1" customHeight="1" x14ac:dyDescent="0.25">
      <c r="A115" s="463"/>
      <c r="B115" s="494"/>
      <c r="C115" s="464"/>
      <c r="D115" s="464"/>
      <c r="E115" s="464"/>
      <c r="F115" s="464"/>
      <c r="G115" s="465">
        <f t="shared" si="6"/>
        <v>0</v>
      </c>
      <c r="H115" s="466"/>
      <c r="I115" s="493">
        <f t="shared" si="5"/>
        <v>0</v>
      </c>
      <c r="J115" s="468"/>
      <c r="K115" s="468"/>
      <c r="L115" s="469"/>
    </row>
    <row r="116" spans="1:12" ht="33" hidden="1" customHeight="1" x14ac:dyDescent="0.25">
      <c r="A116" s="463"/>
      <c r="B116" s="494"/>
      <c r="C116" s="464"/>
      <c r="D116" s="464"/>
      <c r="E116" s="464"/>
      <c r="F116" s="464"/>
      <c r="G116" s="465">
        <f t="shared" si="6"/>
        <v>0</v>
      </c>
      <c r="H116" s="466"/>
      <c r="I116" s="493">
        <f t="shared" si="5"/>
        <v>0</v>
      </c>
      <c r="J116" s="468"/>
      <c r="K116" s="468"/>
      <c r="L116" s="469"/>
    </row>
    <row r="117" spans="1:12" ht="26.25" hidden="1" customHeight="1" x14ac:dyDescent="0.25">
      <c r="A117" s="463"/>
      <c r="B117" s="494"/>
      <c r="C117" s="464"/>
      <c r="D117" s="464"/>
      <c r="E117" s="464"/>
      <c r="F117" s="464"/>
      <c r="G117" s="465">
        <f t="shared" si="6"/>
        <v>0</v>
      </c>
      <c r="H117" s="466"/>
      <c r="I117" s="493">
        <f t="shared" si="5"/>
        <v>0</v>
      </c>
      <c r="J117" s="468"/>
      <c r="K117" s="468"/>
      <c r="L117" s="469"/>
    </row>
    <row r="118" spans="1:12" ht="26.25" hidden="1" customHeight="1" x14ac:dyDescent="0.25">
      <c r="A118" s="463"/>
      <c r="B118" s="494"/>
      <c r="C118" s="464"/>
      <c r="D118" s="464"/>
      <c r="E118" s="464"/>
      <c r="F118" s="464"/>
      <c r="G118" s="465">
        <f t="shared" si="6"/>
        <v>0</v>
      </c>
      <c r="H118" s="466"/>
      <c r="I118" s="493">
        <f t="shared" si="5"/>
        <v>0</v>
      </c>
      <c r="J118" s="468"/>
      <c r="K118" s="468"/>
      <c r="L118" s="469"/>
    </row>
    <row r="119" spans="1:12" ht="26.25" hidden="1" customHeight="1" x14ac:dyDescent="0.25">
      <c r="A119" s="463"/>
      <c r="B119" s="494"/>
      <c r="C119" s="464"/>
      <c r="D119" s="464"/>
      <c r="E119" s="464"/>
      <c r="F119" s="464"/>
      <c r="G119" s="465">
        <f t="shared" si="6"/>
        <v>0</v>
      </c>
      <c r="H119" s="466"/>
      <c r="I119" s="493">
        <f t="shared" si="5"/>
        <v>0</v>
      </c>
      <c r="J119" s="468"/>
      <c r="K119" s="468"/>
      <c r="L119" s="469"/>
    </row>
    <row r="120" spans="1:12" ht="26.25" hidden="1" customHeight="1" x14ac:dyDescent="0.25">
      <c r="A120" s="463"/>
      <c r="B120" s="494"/>
      <c r="C120" s="464"/>
      <c r="D120" s="464"/>
      <c r="E120" s="464"/>
      <c r="F120" s="464"/>
      <c r="G120" s="465">
        <f t="shared" si="6"/>
        <v>0</v>
      </c>
      <c r="H120" s="466"/>
      <c r="I120" s="493">
        <f t="shared" si="5"/>
        <v>0</v>
      </c>
      <c r="J120" s="468"/>
      <c r="K120" s="468"/>
      <c r="L120" s="469"/>
    </row>
    <row r="121" spans="1:12" ht="14.25" hidden="1" x14ac:dyDescent="0.25">
      <c r="A121" s="463"/>
      <c r="B121" s="494"/>
      <c r="C121" s="464"/>
      <c r="D121" s="464"/>
      <c r="E121" s="464"/>
      <c r="F121" s="464"/>
      <c r="G121" s="465">
        <f t="shared" si="6"/>
        <v>0</v>
      </c>
      <c r="H121" s="466"/>
      <c r="I121" s="493">
        <f t="shared" si="5"/>
        <v>0</v>
      </c>
      <c r="J121" s="468"/>
      <c r="K121" s="468"/>
      <c r="L121" s="469"/>
    </row>
    <row r="122" spans="1:12" x14ac:dyDescent="0.25">
      <c r="A122" s="496"/>
      <c r="B122" s="497" t="s">
        <v>900</v>
      </c>
      <c r="C122" s="473">
        <f t="shared" ref="C122:I122" si="7">SUM(C83:C121)</f>
        <v>1000</v>
      </c>
      <c r="D122" s="473">
        <f t="shared" si="7"/>
        <v>1000</v>
      </c>
      <c r="E122" s="473">
        <f t="shared" si="7"/>
        <v>0</v>
      </c>
      <c r="F122" s="473">
        <f t="shared" si="7"/>
        <v>0</v>
      </c>
      <c r="G122" s="473">
        <f>SUM(G83:G121)</f>
        <v>0</v>
      </c>
      <c r="H122" s="498">
        <f t="shared" si="7"/>
        <v>0</v>
      </c>
      <c r="I122" s="498">
        <f t="shared" si="7"/>
        <v>0</v>
      </c>
      <c r="J122" s="475"/>
      <c r="K122" s="473"/>
      <c r="L122" s="499"/>
    </row>
    <row r="123" spans="1:12" ht="15.75" thickBot="1" x14ac:dyDescent="0.3">
      <c r="A123" s="2095" t="s">
        <v>901</v>
      </c>
      <c r="B123" s="2096"/>
      <c r="C123" s="500"/>
      <c r="D123" s="501">
        <f>IFERROR(IF(D122&lt;=0,0,(D122/C122)*100),"")</f>
        <v>100</v>
      </c>
      <c r="E123" s="502"/>
      <c r="F123" s="502"/>
      <c r="G123" s="480">
        <f>IFERROR(IF(G122&lt;=0,0,G122/C122),0)</f>
        <v>0</v>
      </c>
      <c r="H123" s="503">
        <f>IFERROR(IF(H122&lt;=0,0,H122/C122),0)</f>
        <v>0</v>
      </c>
      <c r="I123" s="504">
        <f>IFERROR(IF(I122&lt;=0,0,I122/C122),0)</f>
        <v>0</v>
      </c>
      <c r="J123" s="505"/>
      <c r="K123" s="483"/>
      <c r="L123" s="499"/>
    </row>
    <row r="124" spans="1:12" ht="16.5" customHeight="1" thickTop="1" thickBot="1" x14ac:dyDescent="0.3">
      <c r="A124" s="2056" t="s">
        <v>902</v>
      </c>
      <c r="B124" s="2057"/>
      <c r="C124" s="506"/>
      <c r="D124" s="507"/>
      <c r="E124" s="506"/>
      <c r="F124" s="506"/>
      <c r="G124" s="508">
        <f>IF(G123&gt;=G80,G123,G80)</f>
        <v>0</v>
      </c>
      <c r="H124" s="509">
        <f>IF(H123&gt;=H80,H123,H80)</f>
        <v>0</v>
      </c>
      <c r="I124" s="509">
        <f>IFERROR(G124+H124,"")</f>
        <v>0</v>
      </c>
      <c r="J124" s="510"/>
      <c r="K124" s="483"/>
      <c r="L124" s="511"/>
    </row>
    <row r="125" spans="1:12" ht="15.75" customHeight="1" thickTop="1" thickBot="1" x14ac:dyDescent="0.3">
      <c r="A125" s="2056" t="s">
        <v>903</v>
      </c>
      <c r="B125" s="2057"/>
      <c r="C125" s="512"/>
      <c r="D125" s="512"/>
      <c r="E125" s="512"/>
      <c r="F125" s="512"/>
      <c r="G125" s="513">
        <f>IF(G122&gt;=G79,G122,G79)</f>
        <v>0</v>
      </c>
      <c r="H125" s="513">
        <f>IF(H122&gt;=H79,H122,H79)</f>
        <v>0</v>
      </c>
      <c r="I125" s="498">
        <f>IFERROR(G125+H125,"")</f>
        <v>0</v>
      </c>
      <c r="J125" s="514"/>
      <c r="K125" s="514"/>
      <c r="L125" s="499"/>
    </row>
    <row r="126" spans="1:12" s="439" customFormat="1" ht="15.75" customHeight="1" x14ac:dyDescent="0.25">
      <c r="A126" s="515"/>
      <c r="B126" s="515"/>
      <c r="C126" s="516"/>
      <c r="D126" s="516"/>
      <c r="E126" s="516"/>
      <c r="F126" s="516"/>
      <c r="G126" s="517"/>
      <c r="H126" s="517"/>
      <c r="I126" s="518"/>
      <c r="J126" s="519"/>
      <c r="K126" s="519"/>
      <c r="L126" s="520"/>
    </row>
    <row r="127" spans="1:12" s="439" customFormat="1" ht="237.75" customHeight="1" x14ac:dyDescent="0.25">
      <c r="A127" s="2058" t="s">
        <v>904</v>
      </c>
      <c r="B127" s="2058"/>
      <c r="C127" s="2058"/>
      <c r="D127" s="2058"/>
      <c r="E127" s="2058"/>
      <c r="F127" s="2058"/>
      <c r="G127" s="2058"/>
      <c r="H127" s="2058"/>
      <c r="I127" s="2058"/>
      <c r="J127" s="2058"/>
      <c r="K127" s="2058"/>
      <c r="L127" s="2058"/>
    </row>
    <row r="128" spans="1:12" s="439" customFormat="1" ht="14.25" x14ac:dyDescent="0.25">
      <c r="A128" s="521"/>
      <c r="B128" s="521"/>
      <c r="C128" s="521"/>
      <c r="D128" s="521"/>
      <c r="E128" s="521"/>
      <c r="F128" s="521"/>
      <c r="G128" s="521"/>
      <c r="H128" s="521"/>
      <c r="I128" s="521"/>
      <c r="J128" s="521"/>
      <c r="K128" s="521"/>
      <c r="L128" s="521"/>
    </row>
    <row r="129" spans="1:12" s="439" customFormat="1" ht="295.5" customHeight="1" x14ac:dyDescent="0.25">
      <c r="A129" s="2058" t="s">
        <v>905</v>
      </c>
      <c r="B129" s="2058"/>
      <c r="C129" s="2058"/>
      <c r="D129" s="2058"/>
      <c r="E129" s="2058"/>
      <c r="F129" s="2058"/>
      <c r="G129" s="2058"/>
      <c r="H129" s="2058"/>
      <c r="I129" s="2058"/>
      <c r="J129" s="2058"/>
      <c r="K129" s="2058"/>
      <c r="L129" s="2058"/>
    </row>
    <row r="130" spans="1:12" s="439" customFormat="1" ht="14.25" customHeight="1" x14ac:dyDescent="0.25">
      <c r="A130" s="515"/>
      <c r="B130" s="515"/>
      <c r="C130" s="516"/>
      <c r="D130" s="516"/>
      <c r="E130" s="516"/>
      <c r="F130" s="516"/>
      <c r="G130" s="517"/>
      <c r="H130" s="517"/>
      <c r="I130" s="518"/>
      <c r="J130" s="519"/>
      <c r="K130" s="519"/>
      <c r="L130" s="520"/>
    </row>
    <row r="131" spans="1:12" ht="6.75" customHeight="1" x14ac:dyDescent="0.25">
      <c r="A131" s="522"/>
      <c r="B131" s="512"/>
      <c r="C131" s="512"/>
      <c r="D131" s="512"/>
      <c r="E131" s="512"/>
      <c r="F131" s="512"/>
      <c r="G131" s="519"/>
      <c r="H131" s="519"/>
      <c r="I131" s="519"/>
      <c r="J131" s="522"/>
      <c r="K131" s="522"/>
      <c r="L131" s="489"/>
    </row>
    <row r="132" spans="1:12" ht="44.25" customHeight="1" x14ac:dyDescent="0.25">
      <c r="A132" s="2059" t="s">
        <v>906</v>
      </c>
      <c r="B132" s="2060"/>
      <c r="C132" s="2060"/>
      <c r="D132" s="2060"/>
      <c r="E132" s="2060"/>
      <c r="F132" s="2061"/>
      <c r="G132" s="2062"/>
      <c r="H132" s="2062"/>
      <c r="I132" s="2062"/>
      <c r="J132" s="2062"/>
      <c r="K132" s="2062"/>
      <c r="L132" s="2063"/>
    </row>
    <row r="133" spans="1:12" ht="46.5" customHeight="1" thickBot="1" x14ac:dyDescent="0.3">
      <c r="A133" s="523" t="s">
        <v>907</v>
      </c>
      <c r="B133" s="523" t="s">
        <v>908</v>
      </c>
      <c r="C133" s="523" t="s">
        <v>909</v>
      </c>
      <c r="D133" s="523" t="s">
        <v>910</v>
      </c>
      <c r="E133" s="523" t="s">
        <v>911</v>
      </c>
      <c r="F133" s="523" t="s">
        <v>912</v>
      </c>
      <c r="G133" s="321"/>
      <c r="H133" s="524"/>
      <c r="I133" s="525"/>
      <c r="J133" s="525"/>
      <c r="K133" s="321"/>
      <c r="L133" s="526"/>
    </row>
    <row r="134" spans="1:12" ht="69" customHeight="1" thickBot="1" x14ac:dyDescent="0.3">
      <c r="A134" s="527" t="s">
        <v>913</v>
      </c>
      <c r="B134" s="528" t="s">
        <v>914</v>
      </c>
      <c r="C134" s="529" t="s">
        <v>915</v>
      </c>
      <c r="D134" s="529" t="s">
        <v>916</v>
      </c>
      <c r="E134" s="530">
        <v>100</v>
      </c>
      <c r="F134" s="531" t="s">
        <v>497</v>
      </c>
      <c r="G134" s="532"/>
      <c r="H134" s="533"/>
      <c r="I134" s="534"/>
      <c r="J134" s="535"/>
      <c r="K134" s="533"/>
      <c r="L134" s="536"/>
    </row>
    <row r="135" spans="1:12" ht="79.5" customHeight="1" thickBot="1" x14ac:dyDescent="0.3">
      <c r="A135" s="527" t="s">
        <v>917</v>
      </c>
      <c r="B135" s="528" t="s">
        <v>918</v>
      </c>
      <c r="C135" s="529" t="s">
        <v>919</v>
      </c>
      <c r="D135" s="529" t="s">
        <v>920</v>
      </c>
      <c r="E135" s="530">
        <v>75</v>
      </c>
      <c r="F135" s="531" t="s">
        <v>497</v>
      </c>
      <c r="H135" s="434"/>
      <c r="I135" s="434"/>
      <c r="L135" s="489"/>
    </row>
    <row r="136" spans="1:12" ht="81.75" customHeight="1" thickBot="1" x14ac:dyDescent="0.3">
      <c r="A136" s="527" t="s">
        <v>921</v>
      </c>
      <c r="B136" s="528" t="s">
        <v>922</v>
      </c>
      <c r="C136" s="537" t="s">
        <v>923</v>
      </c>
      <c r="D136" s="537" t="s">
        <v>924</v>
      </c>
      <c r="E136" s="530">
        <v>0</v>
      </c>
      <c r="F136" s="531" t="s">
        <v>512</v>
      </c>
      <c r="H136" s="434"/>
      <c r="I136" s="434"/>
      <c r="L136" s="489"/>
    </row>
    <row r="137" spans="1:12" ht="84.75" customHeight="1" thickBot="1" x14ac:dyDescent="0.3">
      <c r="A137" s="527" t="s">
        <v>925</v>
      </c>
      <c r="B137" s="538"/>
      <c r="C137" s="537" t="s">
        <v>924</v>
      </c>
      <c r="D137" s="537" t="s">
        <v>924</v>
      </c>
      <c r="E137" s="530">
        <v>0</v>
      </c>
      <c r="F137" s="531" t="s">
        <v>512</v>
      </c>
      <c r="H137" s="434"/>
      <c r="I137" s="434"/>
      <c r="L137" s="489"/>
    </row>
    <row r="138" spans="1:12" ht="24" customHeight="1" x14ac:dyDescent="0.25">
      <c r="A138" s="539"/>
      <c r="B138" s="540"/>
      <c r="C138" s="541"/>
      <c r="D138" s="541"/>
      <c r="E138" s="540"/>
      <c r="F138" s="540"/>
      <c r="H138" s="434"/>
      <c r="I138" s="434"/>
      <c r="L138" s="489"/>
    </row>
    <row r="139" spans="1:12" ht="33.75" customHeight="1" x14ac:dyDescent="0.25">
      <c r="A139" s="2064" t="s">
        <v>926</v>
      </c>
      <c r="B139" s="2065"/>
      <c r="C139" s="2065"/>
      <c r="D139" s="2065"/>
      <c r="E139" s="2065"/>
      <c r="F139" s="2065"/>
      <c r="G139" s="2065"/>
      <c r="H139" s="2065"/>
      <c r="I139" s="2065"/>
      <c r="J139" s="2065"/>
      <c r="K139" s="2065"/>
      <c r="L139" s="542"/>
    </row>
    <row r="140" spans="1:12" ht="61.5" customHeight="1" x14ac:dyDescent="0.25">
      <c r="A140" s="2066" t="s">
        <v>927</v>
      </c>
      <c r="B140" s="2066"/>
      <c r="C140" s="543" t="s">
        <v>928</v>
      </c>
      <c r="D140" s="543" t="s">
        <v>929</v>
      </c>
      <c r="E140" s="544" t="s">
        <v>930</v>
      </c>
      <c r="F140" s="545" t="s">
        <v>928</v>
      </c>
      <c r="G140" s="543" t="s">
        <v>929</v>
      </c>
      <c r="H140" s="546"/>
      <c r="I140" s="544" t="s">
        <v>931</v>
      </c>
      <c r="J140" s="543" t="s">
        <v>928</v>
      </c>
      <c r="K140" s="543" t="s">
        <v>929</v>
      </c>
      <c r="L140" s="542"/>
    </row>
    <row r="141" spans="1:12" ht="95.25" customHeight="1" x14ac:dyDescent="0.25">
      <c r="A141" s="2067" t="s">
        <v>932</v>
      </c>
      <c r="B141" s="2068"/>
      <c r="C141" s="547">
        <f>G79/I150</f>
        <v>0</v>
      </c>
      <c r="D141" s="547">
        <f>G80/H150</f>
        <v>0</v>
      </c>
      <c r="E141" s="548" t="s">
        <v>933</v>
      </c>
      <c r="F141" s="547">
        <f>H79/I150</f>
        <v>0</v>
      </c>
      <c r="G141" s="547">
        <f>H80/H150</f>
        <v>0</v>
      </c>
      <c r="H141" s="546"/>
      <c r="I141" s="548" t="s">
        <v>934</v>
      </c>
      <c r="J141" s="547">
        <f>I79/I150</f>
        <v>0</v>
      </c>
      <c r="K141" s="547">
        <f>I80/H150</f>
        <v>0</v>
      </c>
      <c r="L141" s="542"/>
    </row>
    <row r="142" spans="1:12" ht="106.5" customHeight="1" x14ac:dyDescent="0.25">
      <c r="A142" s="2067" t="s">
        <v>935</v>
      </c>
      <c r="B142" s="2068"/>
      <c r="C142" s="547">
        <f>G122/I150</f>
        <v>0</v>
      </c>
      <c r="D142" s="547">
        <f>G123/H150</f>
        <v>0</v>
      </c>
      <c r="E142" s="548" t="s">
        <v>936</v>
      </c>
      <c r="F142" s="547">
        <f>H122/I150</f>
        <v>0</v>
      </c>
      <c r="G142" s="547">
        <f>H123/H150</f>
        <v>0</v>
      </c>
      <c r="H142" s="546"/>
      <c r="I142" s="548" t="s">
        <v>937</v>
      </c>
      <c r="J142" s="547">
        <f>I122/I150</f>
        <v>0</v>
      </c>
      <c r="K142" s="547">
        <f>I123/H150</f>
        <v>0</v>
      </c>
      <c r="L142" s="542"/>
    </row>
    <row r="143" spans="1:12" ht="18" x14ac:dyDescent="0.25">
      <c r="A143" s="549"/>
      <c r="B143" s="550"/>
      <c r="C143" s="550"/>
      <c r="D143" s="550"/>
      <c r="E143" s="550"/>
      <c r="G143" s="551"/>
      <c r="H143" s="434"/>
      <c r="I143" s="551"/>
      <c r="L143" s="542"/>
    </row>
    <row r="144" spans="1:12" ht="66.75" customHeight="1" x14ac:dyDescent="0.25">
      <c r="A144" s="2069" t="s">
        <v>938</v>
      </c>
      <c r="B144" s="2069"/>
      <c r="C144" s="552">
        <f>IF(C141&gt;C142,C141,C142)</f>
        <v>0</v>
      </c>
      <c r="D144" s="552">
        <f>IF(D141&gt;D142,D141,D142)</f>
        <v>0</v>
      </c>
      <c r="E144" s="553" t="s">
        <v>938</v>
      </c>
      <c r="F144" s="552">
        <f>IF(F141&gt;F142,F141,F142)</f>
        <v>0</v>
      </c>
      <c r="G144" s="552">
        <f>IF(G141&gt;G142,G141,G142)</f>
        <v>0</v>
      </c>
      <c r="H144" s="554"/>
      <c r="I144" s="555" t="s">
        <v>938</v>
      </c>
      <c r="J144" s="552">
        <f>IF(J141&gt;J142,J141,J142)</f>
        <v>0</v>
      </c>
      <c r="K144" s="552">
        <f>IF(K141&gt;K142,K141,K142)</f>
        <v>0</v>
      </c>
      <c r="L144" s="542"/>
    </row>
    <row r="145" spans="1:12" ht="18" x14ac:dyDescent="0.25">
      <c r="A145" s="556"/>
      <c r="B145" s="556"/>
      <c r="C145" s="554"/>
      <c r="D145" s="554"/>
      <c r="E145" s="557"/>
      <c r="F145" s="554"/>
      <c r="G145" s="554"/>
      <c r="H145" s="554"/>
      <c r="I145" s="558"/>
      <c r="J145" s="554"/>
      <c r="K145" s="554"/>
      <c r="L145" s="542"/>
    </row>
    <row r="146" spans="1:12" ht="66.75" customHeight="1" x14ac:dyDescent="0.25">
      <c r="A146" s="2070" t="s">
        <v>939</v>
      </c>
      <c r="B146" s="2070"/>
      <c r="C146" s="2070"/>
      <c r="D146" s="2070"/>
      <c r="E146" s="2070"/>
      <c r="F146" s="2070"/>
      <c r="G146" s="2070"/>
      <c r="H146" s="554"/>
      <c r="I146" s="558"/>
      <c r="J146" s="554"/>
      <c r="K146" s="554"/>
      <c r="L146" s="542"/>
    </row>
    <row r="147" spans="1:12" ht="18" x14ac:dyDescent="0.25">
      <c r="A147" s="549"/>
      <c r="B147" s="550"/>
      <c r="C147" s="550"/>
      <c r="D147" s="550"/>
      <c r="E147" s="550"/>
      <c r="G147" s="551"/>
      <c r="H147" s="434"/>
      <c r="I147" s="551"/>
      <c r="L147" s="542"/>
    </row>
    <row r="148" spans="1:12" ht="76.5" customHeight="1" x14ac:dyDescent="0.25">
      <c r="A148" s="549"/>
      <c r="B148" s="550"/>
      <c r="C148" s="550"/>
      <c r="D148" s="2042" t="s">
        <v>940</v>
      </c>
      <c r="E148" s="2043"/>
      <c r="F148" s="2043"/>
      <c r="G148" s="2043"/>
      <c r="H148" s="2043"/>
      <c r="I148" s="2044"/>
      <c r="L148" s="542"/>
    </row>
    <row r="149" spans="1:12" ht="57.75" customHeight="1" x14ac:dyDescent="0.25">
      <c r="A149" s="549"/>
      <c r="B149" s="550"/>
      <c r="C149" s="550"/>
      <c r="D149" s="351" t="s">
        <v>722</v>
      </c>
      <c r="E149" s="559" t="s">
        <v>707</v>
      </c>
      <c r="F149" s="560" t="s">
        <v>723</v>
      </c>
      <c r="G149" s="561" t="s">
        <v>941</v>
      </c>
      <c r="H149" s="351" t="s">
        <v>725</v>
      </c>
      <c r="I149" s="562" t="s">
        <v>726</v>
      </c>
      <c r="L149" s="542"/>
    </row>
    <row r="150" spans="1:12" ht="18" x14ac:dyDescent="0.25">
      <c r="A150" s="549"/>
      <c r="B150" s="550"/>
      <c r="C150" s="550"/>
      <c r="D150" s="563">
        <f>+'MATERIALIDAD FINANCIERA'!B51</f>
        <v>1</v>
      </c>
      <c r="E150" s="564" t="str">
        <f>+'MATERIALIDAD FINANCIERA'!C51</f>
        <v>Entre &gt;2,3% y &lt;=3%</v>
      </c>
      <c r="F150" s="1346" t="str">
        <f>+'MATERIALIDAD FINANCIERA'!D51</f>
        <v>Activos</v>
      </c>
      <c r="G150" s="565">
        <f>+'MATERIALIDAD FINANCIERA'!E51</f>
        <v>5000000</v>
      </c>
      <c r="H150" s="564" t="str">
        <f>+'MATERIALIDAD FINANCIERA'!F51</f>
        <v>3%</v>
      </c>
      <c r="I150" s="566">
        <f>+'MATERIALIDAD FINANCIERA'!G51</f>
        <v>150000</v>
      </c>
      <c r="L150" s="542"/>
    </row>
    <row r="151" spans="1:12" ht="18" x14ac:dyDescent="0.25">
      <c r="A151" s="549"/>
      <c r="B151" s="550"/>
      <c r="C151" s="550"/>
      <c r="D151" s="550"/>
      <c r="E151" s="550"/>
      <c r="G151" s="551"/>
      <c r="H151" s="434"/>
      <c r="I151" s="551"/>
      <c r="L151" s="542"/>
    </row>
    <row r="152" spans="1:12" ht="54" customHeight="1" x14ac:dyDescent="0.25">
      <c r="B152" s="550"/>
      <c r="C152" s="550"/>
      <c r="D152" s="2031" t="s">
        <v>942</v>
      </c>
      <c r="E152" s="2031"/>
      <c r="F152" s="2031"/>
      <c r="G152" s="2031"/>
      <c r="H152" s="2031"/>
      <c r="I152" s="2031"/>
      <c r="L152" s="542"/>
    </row>
    <row r="153" spans="1:12" ht="18" x14ac:dyDescent="0.25">
      <c r="A153" s="549"/>
      <c r="B153" s="550"/>
      <c r="C153" s="550"/>
      <c r="D153" s="550"/>
      <c r="E153" s="550"/>
      <c r="G153" s="551"/>
      <c r="H153" s="434"/>
      <c r="I153" s="551"/>
      <c r="L153" s="542"/>
    </row>
    <row r="154" spans="1:12" ht="18.75" thickBot="1" x14ac:dyDescent="0.3">
      <c r="A154" s="549"/>
      <c r="B154" s="550"/>
      <c r="C154" s="550"/>
      <c r="D154" s="550"/>
      <c r="E154" s="550"/>
      <c r="G154" s="551"/>
      <c r="H154" s="434"/>
      <c r="I154" s="551"/>
      <c r="L154" s="542"/>
    </row>
    <row r="155" spans="1:12" ht="39.75" customHeight="1" thickBot="1" x14ac:dyDescent="0.3">
      <c r="A155" s="2032" t="s">
        <v>943</v>
      </c>
      <c r="B155" s="2033"/>
      <c r="C155" s="2033"/>
      <c r="D155" s="2033"/>
      <c r="E155" s="2033"/>
      <c r="F155" s="2034"/>
      <c r="G155" s="2045" t="s">
        <v>944</v>
      </c>
      <c r="H155" s="2046"/>
      <c r="I155" s="2046"/>
      <c r="J155" s="2047"/>
      <c r="K155" s="567"/>
      <c r="L155" s="489"/>
    </row>
    <row r="156" spans="1:12" ht="59.25" customHeight="1" thickBot="1" x14ac:dyDescent="0.3">
      <c r="A156" s="2048" t="s">
        <v>945</v>
      </c>
      <c r="B156" s="2049"/>
      <c r="C156" s="2049"/>
      <c r="D156" s="2049"/>
      <c r="E156" s="2049"/>
      <c r="F156" s="2050"/>
      <c r="G156" s="2051" t="s">
        <v>908</v>
      </c>
      <c r="H156" s="2052"/>
      <c r="I156" s="568" t="s">
        <v>909</v>
      </c>
      <c r="J156" s="568" t="s">
        <v>946</v>
      </c>
      <c r="K156" s="569"/>
      <c r="L156" s="489"/>
    </row>
    <row r="157" spans="1:12" ht="63" customHeight="1" thickBot="1" x14ac:dyDescent="0.3">
      <c r="A157" s="2035" t="s">
        <v>947</v>
      </c>
      <c r="B157" s="2036"/>
      <c r="C157" s="2036"/>
      <c r="D157" s="2036"/>
      <c r="E157" s="2036"/>
      <c r="F157" s="2037"/>
      <c r="G157" s="570" t="s">
        <v>948</v>
      </c>
      <c r="H157" s="571" t="str">
        <f>IFERROR(IF(C144&lt;=1,"SI","NO"),"")</f>
        <v>SI</v>
      </c>
      <c r="I157" s="571" t="str">
        <f>IFERROR(IF(F144&lt;=1,"SI","NO"),"")</f>
        <v>SI</v>
      </c>
      <c r="J157" s="571" t="str">
        <f>IFERROR(IF(J144&lt;=1,"SI","NO"),"")</f>
        <v>SI</v>
      </c>
      <c r="K157" s="572"/>
      <c r="L157" s="489"/>
    </row>
    <row r="158" spans="1:12" ht="50.25" customHeight="1" thickBot="1" x14ac:dyDescent="0.3">
      <c r="A158" s="2053" t="s">
        <v>949</v>
      </c>
      <c r="B158" s="2054"/>
      <c r="C158" s="2054"/>
      <c r="D158" s="2054"/>
      <c r="E158" s="2054"/>
      <c r="F158" s="2055"/>
      <c r="G158" s="570" t="s">
        <v>950</v>
      </c>
      <c r="H158" s="571" t="str">
        <f>IFERROR(IF(AND(C144&gt;=1,C144&lt;5),"SI","NO"),"")</f>
        <v>NO</v>
      </c>
      <c r="I158" s="571" t="str">
        <f>IFERROR(IF(AND(F144&gt;=1,F144&lt;5),"SI","NO"),"")</f>
        <v>NO</v>
      </c>
      <c r="J158" s="571" t="str">
        <f>IFERROR(IF(AND(J144&gt;1,J144&lt;5),"SI","NO"),"")</f>
        <v>NO</v>
      </c>
      <c r="K158" s="572"/>
      <c r="L158" s="489"/>
    </row>
    <row r="159" spans="1:12" ht="54.75" customHeight="1" thickBot="1" x14ac:dyDescent="0.3">
      <c r="A159" s="2035" t="s">
        <v>951</v>
      </c>
      <c r="B159" s="2036"/>
      <c r="C159" s="2036"/>
      <c r="D159" s="2036"/>
      <c r="E159" s="2036"/>
      <c r="F159" s="2037"/>
      <c r="G159" s="570" t="s">
        <v>952</v>
      </c>
      <c r="H159" s="571" t="str">
        <f>IFERROR(IF(C144&gt;5,"SI","NO"),"")</f>
        <v>NO</v>
      </c>
      <c r="I159" s="571" t="str">
        <f>IFERROR(IF(F144&gt;5,"SI","NO"),"")</f>
        <v>NO</v>
      </c>
      <c r="J159" s="571" t="str">
        <f>IFERROR(IF(J144&gt;5,"SI","NO"),"")</f>
        <v>NO</v>
      </c>
      <c r="K159" s="572"/>
      <c r="L159" s="489"/>
    </row>
    <row r="160" spans="1:12" ht="94.5" customHeight="1" x14ac:dyDescent="0.25">
      <c r="A160" s="2038"/>
      <c r="B160" s="2038"/>
      <c r="C160" s="2038"/>
      <c r="D160" s="2038"/>
      <c r="E160" s="2038"/>
      <c r="F160" s="2038"/>
      <c r="G160" s="573" t="s">
        <v>953</v>
      </c>
      <c r="H160" s="574" t="str">
        <f>IF(J144=J141,IF(C141&gt;=F141,"NO","SI"),IF(J144=J142,IF(C142&gt;=F142,"NO","SI"),""))</f>
        <v>NO</v>
      </c>
      <c r="I160" s="574" t="str">
        <f>IF(K144=K141,IF(D141&gt;=G141,"PREDOMINA INCORRECCIONES","PREDOMINA IMPOSIBILIDADES"),IF(K144=K142,IF(D142&gt;=G142,"PREDOMINA INCORRECCIONES","PREDOMINA IMPOSIBILIDADES"),""))</f>
        <v>PREDOMINA INCORRECCIONES</v>
      </c>
      <c r="L160" s="489"/>
    </row>
    <row r="161" spans="1:13" ht="151.5" customHeight="1" x14ac:dyDescent="0.25">
      <c r="B161" s="575"/>
      <c r="C161" s="575"/>
      <c r="D161" s="575"/>
      <c r="E161" s="575"/>
      <c r="F161" s="575"/>
      <c r="G161" s="2039" t="s">
        <v>954</v>
      </c>
      <c r="H161" s="2039"/>
      <c r="I161" s="2039"/>
      <c r="J161" s="2039"/>
      <c r="L161" s="489"/>
    </row>
    <row r="162" spans="1:13" s="439" customFormat="1" ht="24" thickBot="1" x14ac:dyDescent="0.3">
      <c r="A162" s="576"/>
      <c r="B162" s="577"/>
      <c r="C162" s="577"/>
      <c r="D162" s="577"/>
      <c r="E162" s="577"/>
      <c r="F162" s="577"/>
      <c r="G162" s="578"/>
      <c r="H162" s="579"/>
      <c r="I162" s="579"/>
      <c r="L162" s="520"/>
    </row>
    <row r="163" spans="1:13" ht="87.75" customHeight="1" thickBot="1" x14ac:dyDescent="0.3">
      <c r="A163" s="2040" t="s">
        <v>955</v>
      </c>
      <c r="B163" s="2040"/>
      <c r="C163" s="2040"/>
      <c r="D163" s="2040"/>
      <c r="E163" s="2040"/>
      <c r="F163" s="580" t="s">
        <v>956</v>
      </c>
      <c r="G163" s="581" t="str">
        <f>IF(J157="","",IF(J157="SI","Limpia o Sin Salvedades",IF(J158="SI","Con Salvedades",IF(AND(J159="SI",H160="NO"),"Negativa",IF(AND(J159="SI",H160="SI"),"Abstención","")))))</f>
        <v>Limpia o Sin Salvedades</v>
      </c>
      <c r="H163" s="582">
        <f>IF(G163="","",IF(OR(G163="ABSTENCIÓN",G163="NEGATIVA"),0%,IF(G163="LIMPIA O SIN SALVEDADES",100%,75%)))</f>
        <v>1</v>
      </c>
      <c r="I163" s="583"/>
      <c r="J163" s="584"/>
      <c r="K163" s="585"/>
      <c r="L163" s="489"/>
    </row>
    <row r="164" spans="1:13" ht="50.25" customHeight="1" thickBot="1" x14ac:dyDescent="0.3">
      <c r="A164" s="2041"/>
      <c r="B164" s="2041"/>
      <c r="C164" s="2041"/>
      <c r="D164" s="2041"/>
      <c r="E164" s="2041"/>
      <c r="F164" s="586" t="s">
        <v>178</v>
      </c>
      <c r="G164" s="587"/>
      <c r="H164" s="588" t="str">
        <f>IF(H163="","",IF(H163&gt;=75%,"EFICAZ","INEFICAZ"))</f>
        <v>EFICAZ</v>
      </c>
      <c r="I164" s="589"/>
      <c r="J164" s="590"/>
      <c r="K164" s="591"/>
      <c r="L164" s="592"/>
    </row>
    <row r="165" spans="1:13" s="439" customFormat="1" ht="64.5" customHeight="1" x14ac:dyDescent="0.25">
      <c r="A165" s="2031" t="s">
        <v>957</v>
      </c>
      <c r="B165" s="2031"/>
      <c r="C165" s="2031"/>
      <c r="D165" s="2031"/>
      <c r="E165" s="2031"/>
      <c r="F165" s="2031"/>
      <c r="G165" s="2031"/>
      <c r="H165" s="2031"/>
      <c r="I165" s="583"/>
      <c r="J165" s="593"/>
      <c r="K165" s="585"/>
    </row>
    <row r="166" spans="1:13" x14ac:dyDescent="0.25">
      <c r="J166" s="436"/>
      <c r="K166" s="436"/>
    </row>
    <row r="167" spans="1:13" x14ac:dyDescent="0.25">
      <c r="J167" s="436"/>
      <c r="K167" s="436"/>
    </row>
    <row r="168" spans="1:13" ht="14.25" customHeight="1" x14ac:dyDescent="0.25">
      <c r="A168" s="2010" t="s">
        <v>744</v>
      </c>
      <c r="B168" s="2011"/>
      <c r="C168" s="2011"/>
      <c r="D168" s="2011"/>
      <c r="E168" s="2011"/>
      <c r="F168" s="2011"/>
      <c r="G168" s="2011"/>
      <c r="H168" s="2011"/>
      <c r="I168" s="2011"/>
      <c r="J168" s="2011"/>
      <c r="K168" s="2011"/>
      <c r="L168" s="2011"/>
      <c r="M168" s="2012"/>
    </row>
    <row r="169" spans="1:13" ht="14.25" customHeight="1" x14ac:dyDescent="0.25">
      <c r="A169" s="2013"/>
      <c r="B169" s="2014"/>
      <c r="C169" s="2014"/>
      <c r="D169" s="2014"/>
      <c r="E169" s="2014"/>
      <c r="F169" s="2014"/>
      <c r="G169" s="2014"/>
      <c r="H169" s="2014"/>
      <c r="I169" s="2014"/>
      <c r="J169" s="2014"/>
      <c r="K169" s="2014"/>
      <c r="L169" s="2014"/>
      <c r="M169" s="2015"/>
    </row>
    <row r="170" spans="1:13" ht="14.25" customHeight="1" x14ac:dyDescent="0.25">
      <c r="A170" s="2016"/>
      <c r="B170" s="2017"/>
      <c r="C170" s="2017"/>
      <c r="D170" s="2017"/>
      <c r="E170" s="2017"/>
      <c r="F170" s="2017"/>
      <c r="G170" s="2017"/>
      <c r="H170" s="2017"/>
      <c r="I170" s="2017"/>
      <c r="J170" s="2017"/>
      <c r="K170" s="2017"/>
      <c r="L170" s="2017"/>
      <c r="M170" s="2018"/>
    </row>
    <row r="171" spans="1:13" x14ac:dyDescent="0.25">
      <c r="A171" s="1969" t="s">
        <v>745</v>
      </c>
      <c r="B171" s="1970"/>
      <c r="C171" s="1970"/>
      <c r="D171" s="1970"/>
      <c r="E171" s="1970"/>
      <c r="F171" s="1970"/>
      <c r="G171" s="1970"/>
      <c r="H171" s="1970"/>
      <c r="I171" s="1970"/>
      <c r="J171" s="1971"/>
      <c r="K171" s="2009" t="s">
        <v>746</v>
      </c>
      <c r="L171" s="2009"/>
      <c r="M171" s="2009"/>
    </row>
    <row r="172" spans="1:13" x14ac:dyDescent="0.25">
      <c r="A172" s="2009" t="s">
        <v>747</v>
      </c>
      <c r="B172" s="2009"/>
      <c r="C172" s="2009"/>
      <c r="D172" s="2009"/>
      <c r="E172" s="2009"/>
      <c r="F172" s="2009"/>
      <c r="G172" s="2009"/>
      <c r="H172" s="2009"/>
      <c r="I172" s="2009"/>
      <c r="J172" s="2009"/>
      <c r="K172" s="2009"/>
      <c r="L172" s="2009"/>
      <c r="M172" s="2009"/>
    </row>
    <row r="173" spans="1:13" ht="14.25" customHeight="1" x14ac:dyDescent="0.25">
      <c r="A173" s="2019" t="s">
        <v>1713</v>
      </c>
      <c r="B173" s="2020"/>
      <c r="C173" s="2020"/>
      <c r="D173" s="2020"/>
      <c r="E173" s="2021"/>
      <c r="F173" s="2025" t="s">
        <v>1714</v>
      </c>
      <c r="G173" s="2026"/>
      <c r="H173" s="2026"/>
      <c r="I173" s="2026"/>
      <c r="J173" s="2027"/>
      <c r="K173" s="2009" t="s">
        <v>748</v>
      </c>
      <c r="L173" s="2009"/>
      <c r="M173" s="2009"/>
    </row>
    <row r="174" spans="1:13" ht="14.25" customHeight="1" x14ac:dyDescent="0.25">
      <c r="A174" s="2022"/>
      <c r="B174" s="2023"/>
      <c r="C174" s="2023"/>
      <c r="D174" s="2023"/>
      <c r="E174" s="2024"/>
      <c r="F174" s="2028"/>
      <c r="G174" s="2029"/>
      <c r="H174" s="2029"/>
      <c r="I174" s="2029"/>
      <c r="J174" s="2030"/>
      <c r="K174" s="2009"/>
      <c r="L174" s="2009"/>
      <c r="M174" s="2009"/>
    </row>
    <row r="175" spans="1:13" x14ac:dyDescent="0.25">
      <c r="A175" s="2009" t="s">
        <v>749</v>
      </c>
      <c r="B175" s="2009"/>
      <c r="C175" s="2009"/>
      <c r="D175" s="2009"/>
      <c r="E175" s="2009"/>
      <c r="F175" s="2009"/>
      <c r="G175" s="2009"/>
      <c r="H175" s="2009"/>
      <c r="I175" s="2009"/>
      <c r="J175" s="2009"/>
      <c r="K175" s="2009"/>
      <c r="L175" s="2009"/>
      <c r="M175" s="2009"/>
    </row>
    <row r="176" spans="1:13" x14ac:dyDescent="0.25">
      <c r="A176" s="2009" t="s">
        <v>1713</v>
      </c>
      <c r="B176" s="2009"/>
      <c r="C176" s="2009"/>
      <c r="D176" s="2009"/>
      <c r="E176" s="2009"/>
      <c r="F176" s="1972" t="s">
        <v>1714</v>
      </c>
      <c r="G176" s="1973"/>
      <c r="H176" s="1969" t="s">
        <v>750</v>
      </c>
      <c r="I176" s="1970"/>
      <c r="J176" s="1971"/>
      <c r="K176" s="2009" t="s">
        <v>751</v>
      </c>
      <c r="L176" s="2009"/>
      <c r="M176" s="2009"/>
    </row>
    <row r="177" spans="10:11" x14ac:dyDescent="0.25">
      <c r="J177" s="436"/>
      <c r="K177" s="436"/>
    </row>
    <row r="178" spans="10:11" x14ac:dyDescent="0.25">
      <c r="J178" s="436"/>
      <c r="K178" s="436"/>
    </row>
    <row r="179" spans="10:11" x14ac:dyDescent="0.25">
      <c r="J179" s="436"/>
      <c r="K179" s="436"/>
    </row>
    <row r="180" spans="10:11" x14ac:dyDescent="0.25">
      <c r="J180" s="436"/>
      <c r="K180" s="436"/>
    </row>
    <row r="181" spans="10:11" x14ac:dyDescent="0.25">
      <c r="J181" s="436"/>
      <c r="K181" s="436"/>
    </row>
    <row r="182" spans="10:11" x14ac:dyDescent="0.25">
      <c r="J182" s="436"/>
      <c r="K182" s="436"/>
    </row>
    <row r="183" spans="10:11" x14ac:dyDescent="0.25">
      <c r="J183" s="436"/>
      <c r="K183" s="436"/>
    </row>
    <row r="184" spans="10:11" x14ac:dyDescent="0.25">
      <c r="J184" s="436"/>
      <c r="K184" s="436"/>
    </row>
    <row r="185" spans="10:11" x14ac:dyDescent="0.25">
      <c r="J185" s="436"/>
      <c r="K185" s="436"/>
    </row>
    <row r="186" spans="10:11" x14ac:dyDescent="0.25">
      <c r="J186" s="436"/>
      <c r="K186" s="436"/>
    </row>
    <row r="187" spans="10:11" x14ac:dyDescent="0.25">
      <c r="J187" s="436"/>
      <c r="K187" s="436"/>
    </row>
    <row r="188" spans="10:11" x14ac:dyDescent="0.25">
      <c r="J188" s="436"/>
      <c r="K188" s="436"/>
    </row>
    <row r="189" spans="10:11" ht="21.75" customHeight="1" x14ac:dyDescent="0.25">
      <c r="J189" s="436"/>
      <c r="K189" s="436"/>
    </row>
    <row r="190" spans="10:11" x14ac:dyDescent="0.25">
      <c r="J190" s="436"/>
      <c r="K190" s="436"/>
    </row>
    <row r="191" spans="10:11" x14ac:dyDescent="0.25">
      <c r="J191" s="436"/>
      <c r="K191" s="436"/>
    </row>
    <row r="192" spans="10:11" x14ac:dyDescent="0.25">
      <c r="J192" s="436"/>
      <c r="K192" s="436"/>
    </row>
    <row r="193" spans="1:11" x14ac:dyDescent="0.25">
      <c r="A193" s="594" t="s">
        <v>958</v>
      </c>
      <c r="B193" s="595" t="s">
        <v>891</v>
      </c>
      <c r="J193" s="436"/>
      <c r="K193" s="436"/>
    </row>
    <row r="194" spans="1:11" x14ac:dyDescent="0.25">
      <c r="A194" s="594"/>
      <c r="B194" s="596" t="s">
        <v>893</v>
      </c>
      <c r="J194" s="436"/>
      <c r="K194" s="436"/>
    </row>
    <row r="195" spans="1:11" x14ac:dyDescent="0.25">
      <c r="A195" s="434" t="s">
        <v>894</v>
      </c>
      <c r="B195" s="596" t="s">
        <v>959</v>
      </c>
      <c r="J195" s="436"/>
      <c r="K195" s="436"/>
    </row>
    <row r="196" spans="1:11" x14ac:dyDescent="0.25">
      <c r="A196" s="434" t="s">
        <v>895</v>
      </c>
      <c r="B196" s="596" t="s">
        <v>960</v>
      </c>
      <c r="J196" s="436"/>
      <c r="K196" s="436"/>
    </row>
    <row r="197" spans="1:11" ht="28.5" x14ac:dyDescent="0.25">
      <c r="A197" s="434" t="s">
        <v>899</v>
      </c>
      <c r="B197" s="596" t="s">
        <v>961</v>
      </c>
      <c r="J197" s="436"/>
      <c r="K197" s="436"/>
    </row>
    <row r="198" spans="1:11" x14ac:dyDescent="0.25">
      <c r="A198" s="434" t="s">
        <v>962</v>
      </c>
      <c r="B198" s="596" t="s">
        <v>963</v>
      </c>
      <c r="J198" s="436"/>
      <c r="K198" s="436"/>
    </row>
    <row r="199" spans="1:11" x14ac:dyDescent="0.25">
      <c r="J199" s="436"/>
      <c r="K199" s="436"/>
    </row>
    <row r="200" spans="1:11" x14ac:dyDescent="0.25">
      <c r="J200" s="436"/>
      <c r="K200" s="436"/>
    </row>
    <row r="201" spans="1:11" x14ac:dyDescent="0.25">
      <c r="J201" s="436"/>
      <c r="K201" s="436"/>
    </row>
    <row r="202" spans="1:11" x14ac:dyDescent="0.25">
      <c r="J202" s="436"/>
      <c r="K202" s="436"/>
    </row>
    <row r="203" spans="1:11" x14ac:dyDescent="0.25">
      <c r="J203" s="436"/>
      <c r="K203" s="436"/>
    </row>
    <row r="204" spans="1:11" x14ac:dyDescent="0.25">
      <c r="J204" s="436"/>
      <c r="K204" s="436"/>
    </row>
    <row r="205" spans="1:11" x14ac:dyDescent="0.25">
      <c r="J205" s="436"/>
      <c r="K205" s="436"/>
    </row>
    <row r="206" spans="1:11" x14ac:dyDescent="0.25">
      <c r="J206" s="436"/>
      <c r="K206" s="436"/>
    </row>
    <row r="207" spans="1:11" x14ac:dyDescent="0.25">
      <c r="J207" s="436"/>
      <c r="K207" s="436"/>
    </row>
    <row r="208" spans="1:11" x14ac:dyDescent="0.25">
      <c r="J208" s="436"/>
      <c r="K208" s="436"/>
    </row>
    <row r="209" spans="10:11" x14ac:dyDescent="0.25">
      <c r="J209" s="436"/>
      <c r="K209" s="436"/>
    </row>
    <row r="210" spans="10:11" x14ac:dyDescent="0.25">
      <c r="J210" s="436"/>
      <c r="K210" s="436"/>
    </row>
    <row r="211" spans="10:11" x14ac:dyDescent="0.25">
      <c r="J211" s="436"/>
      <c r="K211" s="436"/>
    </row>
    <row r="212" spans="10:11" x14ac:dyDescent="0.25">
      <c r="J212" s="436"/>
      <c r="K212" s="436"/>
    </row>
    <row r="213" spans="10:11" x14ac:dyDescent="0.25">
      <c r="J213" s="436"/>
      <c r="K213" s="436"/>
    </row>
    <row r="214" spans="10:11" x14ac:dyDescent="0.25">
      <c r="J214" s="436"/>
      <c r="K214" s="436"/>
    </row>
    <row r="215" spans="10:11" x14ac:dyDescent="0.25">
      <c r="J215" s="436"/>
      <c r="K215" s="436"/>
    </row>
    <row r="216" spans="10:11" x14ac:dyDescent="0.25">
      <c r="J216" s="436"/>
      <c r="K216" s="436"/>
    </row>
    <row r="217" spans="10:11" x14ac:dyDescent="0.25">
      <c r="J217" s="436"/>
      <c r="K217" s="436"/>
    </row>
    <row r="218" spans="10:11" x14ac:dyDescent="0.25">
      <c r="J218" s="436"/>
      <c r="K218" s="436"/>
    </row>
    <row r="219" spans="10:11" x14ac:dyDescent="0.25">
      <c r="J219" s="436"/>
      <c r="K219" s="436"/>
    </row>
    <row r="220" spans="10:11" x14ac:dyDescent="0.25">
      <c r="J220" s="436"/>
      <c r="K220" s="436"/>
    </row>
    <row r="221" spans="10:11" x14ac:dyDescent="0.25">
      <c r="J221" s="436"/>
      <c r="K221" s="436"/>
    </row>
    <row r="222" spans="10:11" x14ac:dyDescent="0.25">
      <c r="J222" s="436"/>
      <c r="K222" s="436"/>
    </row>
    <row r="223" spans="10:11" x14ac:dyDescent="0.25">
      <c r="J223" s="436"/>
      <c r="K223" s="436"/>
    </row>
    <row r="224" spans="10:11" x14ac:dyDescent="0.25">
      <c r="J224" s="436"/>
      <c r="K224" s="436"/>
    </row>
    <row r="225" spans="10:11" x14ac:dyDescent="0.25">
      <c r="J225" s="436"/>
      <c r="K225" s="436"/>
    </row>
    <row r="226" spans="10:11" x14ac:dyDescent="0.25">
      <c r="J226" s="436"/>
      <c r="K226" s="436"/>
    </row>
    <row r="227" spans="10:11" x14ac:dyDescent="0.25">
      <c r="J227" s="436"/>
      <c r="K227" s="436"/>
    </row>
    <row r="228" spans="10:11" x14ac:dyDescent="0.25">
      <c r="J228" s="436"/>
      <c r="K228" s="436"/>
    </row>
    <row r="229" spans="10:11" x14ac:dyDescent="0.25">
      <c r="J229" s="436"/>
      <c r="K229" s="436"/>
    </row>
    <row r="230" spans="10:11" x14ac:dyDescent="0.25">
      <c r="J230" s="436"/>
      <c r="K230" s="436"/>
    </row>
    <row r="231" spans="10:11" x14ac:dyDescent="0.25">
      <c r="J231" s="436"/>
      <c r="K231" s="436"/>
    </row>
    <row r="232" spans="10:11" x14ac:dyDescent="0.25">
      <c r="J232" s="436"/>
      <c r="K232" s="436"/>
    </row>
    <row r="233" spans="10:11" x14ac:dyDescent="0.25">
      <c r="J233" s="436"/>
      <c r="K233" s="436"/>
    </row>
    <row r="234" spans="10:11" x14ac:dyDescent="0.25">
      <c r="J234" s="436"/>
      <c r="K234" s="436"/>
    </row>
    <row r="235" spans="10:11" x14ac:dyDescent="0.25">
      <c r="J235" s="436"/>
      <c r="K235" s="436"/>
    </row>
    <row r="236" spans="10:11" x14ac:dyDescent="0.25">
      <c r="J236" s="436"/>
      <c r="K236" s="436"/>
    </row>
    <row r="237" spans="10:11" x14ac:dyDescent="0.25">
      <c r="J237" s="436"/>
      <c r="K237" s="436"/>
    </row>
    <row r="238" spans="10:11" x14ac:dyDescent="0.25">
      <c r="J238" s="436"/>
      <c r="K238" s="436"/>
    </row>
    <row r="239" spans="10:11" x14ac:dyDescent="0.25">
      <c r="J239" s="436"/>
      <c r="K239" s="436"/>
    </row>
    <row r="240" spans="10:11" x14ac:dyDescent="0.25">
      <c r="J240" s="436"/>
      <c r="K240" s="436"/>
    </row>
    <row r="241" spans="10:11" x14ac:dyDescent="0.25">
      <c r="J241" s="436"/>
      <c r="K241" s="436"/>
    </row>
    <row r="242" spans="10:11" x14ac:dyDescent="0.25">
      <c r="J242" s="436"/>
      <c r="K242" s="436"/>
    </row>
    <row r="243" spans="10:11" x14ac:dyDescent="0.25">
      <c r="J243" s="436"/>
      <c r="K243" s="436"/>
    </row>
    <row r="244" spans="10:11" x14ac:dyDescent="0.25">
      <c r="J244" s="436"/>
      <c r="K244" s="436"/>
    </row>
    <row r="245" spans="10:11" x14ac:dyDescent="0.25">
      <c r="J245" s="436"/>
      <c r="K245" s="436"/>
    </row>
    <row r="246" spans="10:11" x14ac:dyDescent="0.25">
      <c r="J246" s="436"/>
      <c r="K246" s="436"/>
    </row>
    <row r="247" spans="10:11" x14ac:dyDescent="0.25">
      <c r="J247" s="436"/>
      <c r="K247" s="436"/>
    </row>
    <row r="248" spans="10:11" x14ac:dyDescent="0.25">
      <c r="J248" s="436"/>
      <c r="K248" s="436"/>
    </row>
    <row r="249" spans="10:11" x14ac:dyDescent="0.25">
      <c r="J249" s="436"/>
      <c r="K249" s="436"/>
    </row>
    <row r="250" spans="10:11" x14ac:dyDescent="0.25">
      <c r="J250" s="436"/>
      <c r="K250" s="436"/>
    </row>
    <row r="251" spans="10:11" x14ac:dyDescent="0.25">
      <c r="J251" s="436"/>
      <c r="K251" s="436"/>
    </row>
    <row r="252" spans="10:11" x14ac:dyDescent="0.25">
      <c r="J252" s="436"/>
      <c r="K252" s="436"/>
    </row>
    <row r="253" spans="10:11" x14ac:dyDescent="0.25">
      <c r="J253" s="436"/>
      <c r="K253" s="436"/>
    </row>
    <row r="254" spans="10:11" x14ac:dyDescent="0.25">
      <c r="J254" s="436"/>
      <c r="K254" s="436"/>
    </row>
    <row r="255" spans="10:11" x14ac:dyDescent="0.25">
      <c r="J255" s="436"/>
      <c r="K255" s="436"/>
    </row>
    <row r="256" spans="10:11" x14ac:dyDescent="0.25">
      <c r="J256" s="436"/>
      <c r="K256" s="436"/>
    </row>
    <row r="257" spans="10:11" x14ac:dyDescent="0.25">
      <c r="J257" s="436"/>
      <c r="K257" s="436"/>
    </row>
    <row r="258" spans="10:11" x14ac:dyDescent="0.25">
      <c r="J258" s="436"/>
      <c r="K258" s="436"/>
    </row>
    <row r="259" spans="10:11" x14ac:dyDescent="0.25">
      <c r="J259" s="436"/>
      <c r="K259" s="436"/>
    </row>
    <row r="260" spans="10:11" x14ac:dyDescent="0.25">
      <c r="J260" s="436"/>
      <c r="K260" s="436"/>
    </row>
    <row r="261" spans="10:11" x14ac:dyDescent="0.25">
      <c r="J261" s="436"/>
      <c r="K261" s="436"/>
    </row>
    <row r="262" spans="10:11" x14ac:dyDescent="0.25">
      <c r="J262" s="436"/>
      <c r="K262" s="436"/>
    </row>
    <row r="263" spans="10:11" x14ac:dyDescent="0.25">
      <c r="J263" s="436"/>
      <c r="K263" s="436"/>
    </row>
    <row r="264" spans="10:11" x14ac:dyDescent="0.25">
      <c r="J264" s="436"/>
      <c r="K264" s="436"/>
    </row>
    <row r="265" spans="10:11" x14ac:dyDescent="0.25">
      <c r="J265" s="436"/>
      <c r="K265" s="436"/>
    </row>
    <row r="266" spans="10:11" x14ac:dyDescent="0.25">
      <c r="J266" s="436"/>
      <c r="K266" s="436"/>
    </row>
    <row r="267" spans="10:11" x14ac:dyDescent="0.25">
      <c r="J267" s="436"/>
      <c r="K267" s="436"/>
    </row>
    <row r="268" spans="10:11" x14ac:dyDescent="0.25">
      <c r="J268" s="436"/>
      <c r="K268" s="436"/>
    </row>
    <row r="269" spans="10:11" x14ac:dyDescent="0.25">
      <c r="J269" s="436"/>
      <c r="K269" s="436"/>
    </row>
    <row r="270" spans="10:11" x14ac:dyDescent="0.25">
      <c r="J270" s="436"/>
      <c r="K270" s="436"/>
    </row>
    <row r="271" spans="10:11" x14ac:dyDescent="0.25">
      <c r="J271" s="436"/>
      <c r="K271" s="436"/>
    </row>
    <row r="272" spans="10:11" x14ac:dyDescent="0.25">
      <c r="J272" s="436"/>
      <c r="K272" s="436"/>
    </row>
    <row r="273" spans="10:11" x14ac:dyDescent="0.25">
      <c r="J273" s="436"/>
      <c r="K273" s="436"/>
    </row>
    <row r="274" spans="10:11" x14ac:dyDescent="0.25">
      <c r="J274" s="436"/>
      <c r="K274" s="436"/>
    </row>
    <row r="275" spans="10:11" x14ac:dyDescent="0.25">
      <c r="J275" s="436"/>
      <c r="K275" s="436"/>
    </row>
    <row r="276" spans="10:11" x14ac:dyDescent="0.25">
      <c r="J276" s="436"/>
      <c r="K276" s="436"/>
    </row>
    <row r="277" spans="10:11" x14ac:dyDescent="0.25">
      <c r="J277" s="436"/>
      <c r="K277" s="436"/>
    </row>
    <row r="278" spans="10:11" x14ac:dyDescent="0.25">
      <c r="J278" s="436"/>
      <c r="K278" s="436"/>
    </row>
    <row r="279" spans="10:11" x14ac:dyDescent="0.25">
      <c r="J279" s="436"/>
      <c r="K279" s="436"/>
    </row>
    <row r="280" spans="10:11" x14ac:dyDescent="0.25">
      <c r="J280" s="436"/>
      <c r="K280" s="436"/>
    </row>
    <row r="281" spans="10:11" x14ac:dyDescent="0.25">
      <c r="J281" s="436"/>
      <c r="K281" s="436"/>
    </row>
    <row r="282" spans="10:11" x14ac:dyDescent="0.25">
      <c r="J282" s="436"/>
      <c r="K282" s="436"/>
    </row>
    <row r="283" spans="10:11" x14ac:dyDescent="0.25">
      <c r="J283" s="436"/>
      <c r="K283" s="436"/>
    </row>
    <row r="284" spans="10:11" x14ac:dyDescent="0.25">
      <c r="J284" s="436"/>
      <c r="K284" s="436"/>
    </row>
    <row r="285" spans="10:11" x14ac:dyDescent="0.25">
      <c r="J285" s="436"/>
      <c r="K285" s="436"/>
    </row>
    <row r="286" spans="10:11" x14ac:dyDescent="0.25">
      <c r="J286" s="436"/>
      <c r="K286" s="436"/>
    </row>
    <row r="287" spans="10:11" x14ac:dyDescent="0.25">
      <c r="J287" s="436"/>
      <c r="K287" s="436"/>
    </row>
    <row r="288" spans="10:11" x14ac:dyDescent="0.25">
      <c r="J288" s="436"/>
      <c r="K288" s="436"/>
    </row>
    <row r="289" spans="10:11" x14ac:dyDescent="0.25">
      <c r="J289" s="436"/>
      <c r="K289" s="436"/>
    </row>
    <row r="290" spans="10:11" x14ac:dyDescent="0.25">
      <c r="J290" s="436"/>
      <c r="K290" s="436"/>
    </row>
    <row r="291" spans="10:11" x14ac:dyDescent="0.25">
      <c r="J291" s="436"/>
      <c r="K291" s="436"/>
    </row>
    <row r="292" spans="10:11" x14ac:dyDescent="0.25">
      <c r="J292" s="436"/>
      <c r="K292" s="436"/>
    </row>
    <row r="293" spans="10:11" x14ac:dyDescent="0.25">
      <c r="J293" s="436"/>
      <c r="K293" s="436"/>
    </row>
    <row r="294" spans="10:11" x14ac:dyDescent="0.25">
      <c r="J294" s="436"/>
      <c r="K294" s="436"/>
    </row>
    <row r="295" spans="10:11" x14ac:dyDescent="0.25">
      <c r="J295" s="436"/>
      <c r="K295" s="436"/>
    </row>
    <row r="296" spans="10:11" x14ac:dyDescent="0.25">
      <c r="J296" s="436"/>
      <c r="K296" s="436"/>
    </row>
    <row r="297" spans="10:11" x14ac:dyDescent="0.25">
      <c r="J297" s="436"/>
      <c r="K297" s="436"/>
    </row>
    <row r="298" spans="10:11" x14ac:dyDescent="0.25">
      <c r="J298" s="436"/>
      <c r="K298" s="436"/>
    </row>
    <row r="299" spans="10:11" x14ac:dyDescent="0.25">
      <c r="J299" s="436"/>
      <c r="K299" s="436"/>
    </row>
    <row r="300" spans="10:11" x14ac:dyDescent="0.25">
      <c r="J300" s="436"/>
      <c r="K300" s="436"/>
    </row>
    <row r="301" spans="10:11" x14ac:dyDescent="0.25">
      <c r="J301" s="436"/>
      <c r="K301" s="436"/>
    </row>
    <row r="302" spans="10:11" x14ac:dyDescent="0.25">
      <c r="J302" s="436"/>
      <c r="K302" s="436"/>
    </row>
    <row r="303" spans="10:11" x14ac:dyDescent="0.25">
      <c r="J303" s="436"/>
      <c r="K303" s="436"/>
    </row>
    <row r="304" spans="10:11" x14ac:dyDescent="0.25">
      <c r="J304" s="436"/>
      <c r="K304" s="436"/>
    </row>
    <row r="305" spans="10:11" x14ac:dyDescent="0.25">
      <c r="J305" s="436"/>
      <c r="K305" s="436"/>
    </row>
    <row r="306" spans="10:11" x14ac:dyDescent="0.25">
      <c r="J306" s="436"/>
      <c r="K306" s="436"/>
    </row>
    <row r="307" spans="10:11" x14ac:dyDescent="0.25">
      <c r="J307" s="436"/>
      <c r="K307" s="436"/>
    </row>
    <row r="308" spans="10:11" x14ac:dyDescent="0.25">
      <c r="J308" s="436"/>
      <c r="K308" s="436"/>
    </row>
    <row r="309" spans="10:11" x14ac:dyDescent="0.25">
      <c r="J309" s="436"/>
      <c r="K309" s="436"/>
    </row>
    <row r="310" spans="10:11" x14ac:dyDescent="0.25">
      <c r="J310" s="436"/>
      <c r="K310" s="436"/>
    </row>
    <row r="311" spans="10:11" x14ac:dyDescent="0.25">
      <c r="J311" s="436"/>
      <c r="K311" s="436"/>
    </row>
    <row r="312" spans="10:11" x14ac:dyDescent="0.25">
      <c r="J312" s="436"/>
      <c r="K312" s="436"/>
    </row>
    <row r="313" spans="10:11" x14ac:dyDescent="0.25">
      <c r="J313" s="436"/>
      <c r="K313" s="436"/>
    </row>
    <row r="314" spans="10:11" x14ac:dyDescent="0.25">
      <c r="J314" s="436"/>
      <c r="K314" s="436"/>
    </row>
    <row r="315" spans="10:11" x14ac:dyDescent="0.25">
      <c r="J315" s="436"/>
      <c r="K315" s="436"/>
    </row>
    <row r="316" spans="10:11" x14ac:dyDescent="0.25">
      <c r="J316" s="436"/>
      <c r="K316" s="436"/>
    </row>
    <row r="317" spans="10:11" x14ac:dyDescent="0.25">
      <c r="J317" s="436"/>
      <c r="K317" s="436"/>
    </row>
    <row r="318" spans="10:11" x14ac:dyDescent="0.25">
      <c r="J318" s="436"/>
      <c r="K318" s="436"/>
    </row>
    <row r="319" spans="10:11" x14ac:dyDescent="0.25">
      <c r="J319" s="436"/>
      <c r="K319" s="436"/>
    </row>
    <row r="320" spans="10:11" x14ac:dyDescent="0.25">
      <c r="J320" s="436"/>
      <c r="K320" s="436"/>
    </row>
    <row r="321" spans="10:11" x14ac:dyDescent="0.25">
      <c r="J321" s="436"/>
      <c r="K321" s="436"/>
    </row>
    <row r="322" spans="10:11" x14ac:dyDescent="0.25">
      <c r="J322" s="436"/>
      <c r="K322" s="436"/>
    </row>
    <row r="323" spans="10:11" x14ac:dyDescent="0.25">
      <c r="J323" s="436"/>
      <c r="K323" s="436"/>
    </row>
    <row r="324" spans="10:11" x14ac:dyDescent="0.25">
      <c r="J324" s="436"/>
      <c r="K324" s="436"/>
    </row>
    <row r="325" spans="10:11" x14ac:dyDescent="0.25">
      <c r="J325" s="436"/>
      <c r="K325" s="436"/>
    </row>
    <row r="326" spans="10:11" x14ac:dyDescent="0.25">
      <c r="J326" s="436"/>
      <c r="K326" s="436"/>
    </row>
    <row r="327" spans="10:11" x14ac:dyDescent="0.25">
      <c r="J327" s="436"/>
      <c r="K327" s="436"/>
    </row>
    <row r="328" spans="10:11" x14ac:dyDescent="0.25">
      <c r="J328" s="436"/>
      <c r="K328" s="436"/>
    </row>
    <row r="329" spans="10:11" x14ac:dyDescent="0.25">
      <c r="J329" s="436"/>
      <c r="K329" s="436"/>
    </row>
    <row r="330" spans="10:11" x14ac:dyDescent="0.25">
      <c r="J330" s="436"/>
      <c r="K330" s="436"/>
    </row>
    <row r="331" spans="10:11" x14ac:dyDescent="0.25">
      <c r="J331" s="436"/>
      <c r="K331" s="436"/>
    </row>
    <row r="332" spans="10:11" x14ac:dyDescent="0.25">
      <c r="J332" s="436"/>
      <c r="K332" s="436"/>
    </row>
    <row r="333" spans="10:11" x14ac:dyDescent="0.25">
      <c r="J333" s="436"/>
      <c r="K333" s="436"/>
    </row>
    <row r="334" spans="10:11" x14ac:dyDescent="0.25">
      <c r="J334" s="436"/>
      <c r="K334" s="436"/>
    </row>
    <row r="335" spans="10:11" x14ac:dyDescent="0.25">
      <c r="J335" s="436"/>
      <c r="K335" s="436"/>
    </row>
    <row r="336" spans="10:11" x14ac:dyDescent="0.25">
      <c r="J336" s="436"/>
      <c r="K336" s="436"/>
    </row>
    <row r="337" spans="10:11" x14ac:dyDescent="0.25">
      <c r="J337" s="436"/>
      <c r="K337" s="436"/>
    </row>
    <row r="338" spans="10:11" x14ac:dyDescent="0.25">
      <c r="J338" s="436"/>
      <c r="K338" s="436"/>
    </row>
    <row r="339" spans="10:11" x14ac:dyDescent="0.25">
      <c r="J339" s="436"/>
      <c r="K339" s="436"/>
    </row>
    <row r="340" spans="10:11" x14ac:dyDescent="0.25">
      <c r="J340" s="436"/>
      <c r="K340" s="436"/>
    </row>
    <row r="341" spans="10:11" x14ac:dyDescent="0.25">
      <c r="J341" s="436"/>
      <c r="K341" s="436"/>
    </row>
    <row r="342" spans="10:11" x14ac:dyDescent="0.25">
      <c r="J342" s="436"/>
      <c r="K342" s="436"/>
    </row>
    <row r="343" spans="10:11" x14ac:dyDescent="0.25">
      <c r="J343" s="436"/>
      <c r="K343" s="436"/>
    </row>
    <row r="344" spans="10:11" x14ac:dyDescent="0.25">
      <c r="J344" s="436"/>
      <c r="K344" s="436"/>
    </row>
    <row r="345" spans="10:11" x14ac:dyDescent="0.25">
      <c r="J345" s="436"/>
      <c r="K345" s="436"/>
    </row>
    <row r="346" spans="10:11" x14ac:dyDescent="0.25">
      <c r="J346" s="436"/>
      <c r="K346" s="436"/>
    </row>
    <row r="347" spans="10:11" x14ac:dyDescent="0.25">
      <c r="J347" s="436"/>
      <c r="K347" s="436"/>
    </row>
    <row r="348" spans="10:11" x14ac:dyDescent="0.25">
      <c r="J348" s="436"/>
      <c r="K348" s="436"/>
    </row>
    <row r="349" spans="10:11" x14ac:dyDescent="0.25">
      <c r="J349" s="436"/>
      <c r="K349" s="436"/>
    </row>
    <row r="350" spans="10:11" x14ac:dyDescent="0.25">
      <c r="J350" s="436"/>
      <c r="K350" s="436"/>
    </row>
    <row r="351" spans="10:11" x14ac:dyDescent="0.25">
      <c r="J351" s="436"/>
      <c r="K351" s="436"/>
    </row>
    <row r="352" spans="10:11" x14ac:dyDescent="0.25">
      <c r="J352" s="436"/>
      <c r="K352" s="436"/>
    </row>
    <row r="353" spans="10:11" x14ac:dyDescent="0.25">
      <c r="J353" s="436"/>
      <c r="K353" s="436"/>
    </row>
    <row r="354" spans="10:11" x14ac:dyDescent="0.25">
      <c r="J354" s="436"/>
      <c r="K354" s="436"/>
    </row>
    <row r="355" spans="10:11" x14ac:dyDescent="0.25">
      <c r="J355" s="436"/>
      <c r="K355" s="436"/>
    </row>
    <row r="356" spans="10:11" x14ac:dyDescent="0.25">
      <c r="J356" s="436"/>
      <c r="K356" s="436"/>
    </row>
    <row r="357" spans="10:11" x14ac:dyDescent="0.25">
      <c r="J357" s="436"/>
      <c r="K357" s="436"/>
    </row>
    <row r="358" spans="10:11" x14ac:dyDescent="0.25">
      <c r="J358" s="436"/>
      <c r="K358" s="436"/>
    </row>
    <row r="359" spans="10:11" x14ac:dyDescent="0.25">
      <c r="J359" s="436"/>
      <c r="K359" s="436"/>
    </row>
    <row r="360" spans="10:11" x14ac:dyDescent="0.25">
      <c r="J360" s="436"/>
      <c r="K360" s="436"/>
    </row>
    <row r="361" spans="10:11" x14ac:dyDescent="0.25">
      <c r="J361" s="436"/>
      <c r="K361" s="436"/>
    </row>
    <row r="362" spans="10:11" x14ac:dyDescent="0.25">
      <c r="J362" s="436"/>
      <c r="K362" s="436"/>
    </row>
    <row r="363" spans="10:11" x14ac:dyDescent="0.25">
      <c r="J363" s="436"/>
      <c r="K363" s="436"/>
    </row>
    <row r="364" spans="10:11" x14ac:dyDescent="0.25">
      <c r="J364" s="436"/>
      <c r="K364" s="436"/>
    </row>
    <row r="365" spans="10:11" x14ac:dyDescent="0.25">
      <c r="J365" s="436"/>
      <c r="K365" s="436"/>
    </row>
    <row r="366" spans="10:11" x14ac:dyDescent="0.25">
      <c r="J366" s="436"/>
      <c r="K366" s="436"/>
    </row>
    <row r="367" spans="10:11" x14ac:dyDescent="0.25">
      <c r="J367" s="436"/>
      <c r="K367" s="436"/>
    </row>
    <row r="368" spans="10:11" x14ac:dyDescent="0.25">
      <c r="J368" s="436"/>
      <c r="K368" s="436"/>
    </row>
    <row r="369" spans="10:11" x14ac:dyDescent="0.25">
      <c r="J369" s="436"/>
      <c r="K369" s="436"/>
    </row>
    <row r="370" spans="10:11" x14ac:dyDescent="0.25">
      <c r="J370" s="436"/>
      <c r="K370" s="436"/>
    </row>
    <row r="371" spans="10:11" x14ac:dyDescent="0.25">
      <c r="J371" s="436"/>
      <c r="K371" s="436"/>
    </row>
    <row r="372" spans="10:11" x14ac:dyDescent="0.25">
      <c r="J372" s="436"/>
      <c r="K372" s="436"/>
    </row>
    <row r="373" spans="10:11" x14ac:dyDescent="0.25">
      <c r="J373" s="436"/>
      <c r="K373" s="436"/>
    </row>
    <row r="374" spans="10:11" x14ac:dyDescent="0.25">
      <c r="J374" s="436"/>
      <c r="K374" s="436"/>
    </row>
    <row r="375" spans="10:11" x14ac:dyDescent="0.25">
      <c r="J375" s="436"/>
      <c r="K375" s="436"/>
    </row>
    <row r="376" spans="10:11" x14ac:dyDescent="0.25">
      <c r="J376" s="436"/>
      <c r="K376" s="436"/>
    </row>
    <row r="377" spans="10:11" x14ac:dyDescent="0.25">
      <c r="J377" s="436"/>
      <c r="K377" s="436"/>
    </row>
    <row r="378" spans="10:11" x14ac:dyDescent="0.25">
      <c r="J378" s="436"/>
      <c r="K378" s="436"/>
    </row>
    <row r="379" spans="10:11" x14ac:dyDescent="0.25">
      <c r="J379" s="436"/>
      <c r="K379" s="436"/>
    </row>
    <row r="380" spans="10:11" x14ac:dyDescent="0.25">
      <c r="J380" s="436"/>
      <c r="K380" s="436"/>
    </row>
    <row r="381" spans="10:11" x14ac:dyDescent="0.25">
      <c r="J381" s="436"/>
      <c r="K381" s="436"/>
    </row>
    <row r="382" spans="10:11" x14ac:dyDescent="0.25">
      <c r="J382" s="436"/>
      <c r="K382" s="436"/>
    </row>
    <row r="383" spans="10:11" x14ac:dyDescent="0.25">
      <c r="J383" s="436"/>
      <c r="K383" s="436"/>
    </row>
    <row r="384" spans="10:11" x14ac:dyDescent="0.25">
      <c r="J384" s="436"/>
      <c r="K384" s="436"/>
    </row>
    <row r="385" spans="10:11" x14ac:dyDescent="0.25">
      <c r="J385" s="436"/>
      <c r="K385" s="436"/>
    </row>
    <row r="386" spans="10:11" x14ac:dyDescent="0.25">
      <c r="J386" s="436"/>
      <c r="K386" s="436"/>
    </row>
    <row r="387" spans="10:11" x14ac:dyDescent="0.25">
      <c r="J387" s="436"/>
      <c r="K387" s="436"/>
    </row>
    <row r="388" spans="10:11" x14ac:dyDescent="0.25">
      <c r="J388" s="436"/>
      <c r="K388" s="436"/>
    </row>
    <row r="389" spans="10:11" x14ac:dyDescent="0.25">
      <c r="J389" s="436"/>
      <c r="K389" s="436"/>
    </row>
    <row r="390" spans="10:11" x14ac:dyDescent="0.25">
      <c r="J390" s="436"/>
      <c r="K390" s="436"/>
    </row>
    <row r="391" spans="10:11" x14ac:dyDescent="0.25">
      <c r="J391" s="436"/>
      <c r="K391" s="436"/>
    </row>
    <row r="392" spans="10:11" x14ac:dyDescent="0.25">
      <c r="J392" s="436"/>
      <c r="K392" s="436"/>
    </row>
    <row r="393" spans="10:11" x14ac:dyDescent="0.25">
      <c r="J393" s="436"/>
      <c r="K393" s="436"/>
    </row>
    <row r="394" spans="10:11" x14ac:dyDescent="0.25">
      <c r="J394" s="436"/>
      <c r="K394" s="436"/>
    </row>
    <row r="395" spans="10:11" x14ac:dyDescent="0.25">
      <c r="J395" s="436"/>
      <c r="K395" s="436"/>
    </row>
    <row r="396" spans="10:11" x14ac:dyDescent="0.25">
      <c r="J396" s="436"/>
      <c r="K396" s="436"/>
    </row>
    <row r="397" spans="10:11" x14ac:dyDescent="0.25">
      <c r="J397" s="436"/>
      <c r="K397" s="436"/>
    </row>
    <row r="398" spans="10:11" x14ac:dyDescent="0.25">
      <c r="J398" s="436"/>
      <c r="K398" s="436"/>
    </row>
    <row r="399" spans="10:11" x14ac:dyDescent="0.25">
      <c r="J399" s="436"/>
      <c r="K399" s="436"/>
    </row>
    <row r="400" spans="10:11" x14ac:dyDescent="0.25">
      <c r="J400" s="436"/>
      <c r="K400" s="436"/>
    </row>
    <row r="401" spans="10:11" x14ac:dyDescent="0.25">
      <c r="J401" s="436"/>
      <c r="K401" s="436"/>
    </row>
    <row r="402" spans="10:11" x14ac:dyDescent="0.25">
      <c r="J402" s="436"/>
      <c r="K402" s="436"/>
    </row>
    <row r="403" spans="10:11" x14ac:dyDescent="0.25">
      <c r="J403" s="436"/>
      <c r="K403" s="436"/>
    </row>
    <row r="404" spans="10:11" x14ac:dyDescent="0.25">
      <c r="J404" s="436"/>
      <c r="K404" s="436"/>
    </row>
    <row r="405" spans="10:11" x14ac:dyDescent="0.25">
      <c r="J405" s="436"/>
      <c r="K405" s="436"/>
    </row>
    <row r="406" spans="10:11" x14ac:dyDescent="0.25">
      <c r="J406" s="436"/>
      <c r="K406" s="436"/>
    </row>
    <row r="407" spans="10:11" x14ac:dyDescent="0.25">
      <c r="J407" s="436"/>
      <c r="K407" s="436"/>
    </row>
    <row r="408" spans="10:11" x14ac:dyDescent="0.25">
      <c r="J408" s="436"/>
      <c r="K408" s="436"/>
    </row>
    <row r="409" spans="10:11" x14ac:dyDescent="0.25">
      <c r="J409" s="436"/>
      <c r="K409" s="436"/>
    </row>
    <row r="410" spans="10:11" x14ac:dyDescent="0.25">
      <c r="J410" s="436"/>
      <c r="K410" s="436"/>
    </row>
    <row r="411" spans="10:11" x14ac:dyDescent="0.25">
      <c r="J411" s="436"/>
      <c r="K411" s="436"/>
    </row>
    <row r="412" spans="10:11" x14ac:dyDescent="0.25">
      <c r="J412" s="436"/>
      <c r="K412" s="436"/>
    </row>
    <row r="413" spans="10:11" x14ac:dyDescent="0.25">
      <c r="J413" s="436"/>
      <c r="K413" s="436"/>
    </row>
    <row r="414" spans="10:11" x14ac:dyDescent="0.25">
      <c r="J414" s="436"/>
      <c r="K414" s="436"/>
    </row>
    <row r="415" spans="10:11" x14ac:dyDescent="0.25">
      <c r="J415" s="436"/>
      <c r="K415" s="436"/>
    </row>
    <row r="416" spans="10:11" x14ac:dyDescent="0.25">
      <c r="J416" s="436"/>
      <c r="K416" s="436"/>
    </row>
    <row r="417" spans="10:11" x14ac:dyDescent="0.25">
      <c r="J417" s="436"/>
      <c r="K417" s="436"/>
    </row>
    <row r="418" spans="10:11" x14ac:dyDescent="0.25">
      <c r="J418" s="436"/>
      <c r="K418" s="436"/>
    </row>
    <row r="419" spans="10:11" x14ac:dyDescent="0.25">
      <c r="J419" s="436"/>
      <c r="K419" s="436"/>
    </row>
    <row r="420" spans="10:11" x14ac:dyDescent="0.25">
      <c r="J420" s="436"/>
      <c r="K420" s="436"/>
    </row>
    <row r="421" spans="10:11" x14ac:dyDescent="0.25">
      <c r="J421" s="436"/>
      <c r="K421" s="436"/>
    </row>
    <row r="422" spans="10:11" x14ac:dyDescent="0.25">
      <c r="J422" s="436"/>
      <c r="K422" s="436"/>
    </row>
    <row r="423" spans="10:11" x14ac:dyDescent="0.25">
      <c r="J423" s="436"/>
      <c r="K423" s="436"/>
    </row>
    <row r="424" spans="10:11" x14ac:dyDescent="0.25">
      <c r="J424" s="436"/>
      <c r="K424" s="436"/>
    </row>
    <row r="425" spans="10:11" x14ac:dyDescent="0.25">
      <c r="J425" s="436"/>
      <c r="K425" s="436"/>
    </row>
    <row r="426" spans="10:11" x14ac:dyDescent="0.25">
      <c r="J426" s="436"/>
      <c r="K426" s="436"/>
    </row>
    <row r="427" spans="10:11" x14ac:dyDescent="0.25">
      <c r="J427" s="436"/>
      <c r="K427" s="436"/>
    </row>
    <row r="428" spans="10:11" x14ac:dyDescent="0.25">
      <c r="J428" s="436"/>
      <c r="K428" s="436"/>
    </row>
    <row r="429" spans="10:11" x14ac:dyDescent="0.25">
      <c r="J429" s="436"/>
      <c r="K429" s="436"/>
    </row>
    <row r="430" spans="10:11" x14ac:dyDescent="0.25">
      <c r="J430" s="436"/>
      <c r="K430" s="436"/>
    </row>
    <row r="431" spans="10:11" x14ac:dyDescent="0.25">
      <c r="J431" s="436"/>
      <c r="K431" s="436"/>
    </row>
    <row r="432" spans="10:11" x14ac:dyDescent="0.25">
      <c r="J432" s="436"/>
      <c r="K432" s="436"/>
    </row>
    <row r="433" spans="10:11" x14ac:dyDescent="0.25">
      <c r="J433" s="436"/>
      <c r="K433" s="436"/>
    </row>
    <row r="434" spans="10:11" x14ac:dyDescent="0.25">
      <c r="J434" s="436"/>
      <c r="K434" s="436"/>
    </row>
    <row r="435" spans="10:11" x14ac:dyDescent="0.25">
      <c r="J435" s="436"/>
      <c r="K435" s="436"/>
    </row>
    <row r="436" spans="10:11" x14ac:dyDescent="0.25">
      <c r="J436" s="436"/>
      <c r="K436" s="436"/>
    </row>
    <row r="437" spans="10:11" x14ac:dyDescent="0.25">
      <c r="J437" s="436"/>
      <c r="K437" s="436"/>
    </row>
    <row r="438" spans="10:11" x14ac:dyDescent="0.25">
      <c r="J438" s="436"/>
      <c r="K438" s="436"/>
    </row>
    <row r="439" spans="10:11" x14ac:dyDescent="0.25">
      <c r="J439" s="436"/>
      <c r="K439" s="436"/>
    </row>
    <row r="440" spans="10:11" x14ac:dyDescent="0.25">
      <c r="J440" s="436"/>
      <c r="K440" s="436"/>
    </row>
    <row r="441" spans="10:11" x14ac:dyDescent="0.25">
      <c r="J441" s="436"/>
      <c r="K441" s="436"/>
    </row>
    <row r="442" spans="10:11" x14ac:dyDescent="0.25">
      <c r="J442" s="436"/>
      <c r="K442" s="436"/>
    </row>
    <row r="443" spans="10:11" x14ac:dyDescent="0.25">
      <c r="J443" s="436"/>
      <c r="K443" s="436"/>
    </row>
    <row r="444" spans="10:11" x14ac:dyDescent="0.25">
      <c r="J444" s="436"/>
      <c r="K444" s="436"/>
    </row>
    <row r="445" spans="10:11" x14ac:dyDescent="0.25">
      <c r="J445" s="436"/>
      <c r="K445" s="436"/>
    </row>
    <row r="446" spans="10:11" x14ac:dyDescent="0.25">
      <c r="J446" s="436"/>
      <c r="K446" s="436"/>
    </row>
    <row r="447" spans="10:11" x14ac:dyDescent="0.25">
      <c r="J447" s="436"/>
      <c r="K447" s="436"/>
    </row>
    <row r="448" spans="10:11" x14ac:dyDescent="0.25">
      <c r="J448" s="436"/>
      <c r="K448" s="436"/>
    </row>
    <row r="449" spans="10:11" x14ac:dyDescent="0.25">
      <c r="J449" s="436"/>
      <c r="K449" s="436"/>
    </row>
    <row r="450" spans="10:11" x14ac:dyDescent="0.25">
      <c r="J450" s="436"/>
      <c r="K450" s="436"/>
    </row>
    <row r="451" spans="10:11" x14ac:dyDescent="0.25">
      <c r="J451" s="436"/>
      <c r="K451" s="436"/>
    </row>
    <row r="452" spans="10:11" x14ac:dyDescent="0.25">
      <c r="J452" s="436"/>
      <c r="K452" s="436"/>
    </row>
    <row r="453" spans="10:11" x14ac:dyDescent="0.25">
      <c r="J453" s="436"/>
      <c r="K453" s="436"/>
    </row>
    <row r="454" spans="10:11" x14ac:dyDescent="0.25">
      <c r="J454" s="436"/>
      <c r="K454" s="436"/>
    </row>
    <row r="455" spans="10:11" x14ac:dyDescent="0.25">
      <c r="J455" s="436"/>
      <c r="K455" s="436"/>
    </row>
    <row r="456" spans="10:11" x14ac:dyDescent="0.25">
      <c r="J456" s="436"/>
      <c r="K456" s="436"/>
    </row>
    <row r="457" spans="10:11" x14ac:dyDescent="0.25">
      <c r="J457" s="436"/>
      <c r="K457" s="436"/>
    </row>
    <row r="458" spans="10:11" x14ac:dyDescent="0.25">
      <c r="J458" s="436"/>
      <c r="K458" s="436"/>
    </row>
    <row r="459" spans="10:11" x14ac:dyDescent="0.25">
      <c r="J459" s="436"/>
      <c r="K459" s="436"/>
    </row>
    <row r="460" spans="10:11" x14ac:dyDescent="0.25">
      <c r="J460" s="436"/>
      <c r="K460" s="436"/>
    </row>
    <row r="461" spans="10:11" x14ac:dyDescent="0.25">
      <c r="J461" s="436"/>
      <c r="K461" s="436"/>
    </row>
    <row r="462" spans="10:11" x14ac:dyDescent="0.25">
      <c r="J462" s="436"/>
      <c r="K462" s="436"/>
    </row>
    <row r="463" spans="10:11" x14ac:dyDescent="0.25">
      <c r="J463" s="436"/>
      <c r="K463" s="436"/>
    </row>
    <row r="464" spans="10:11" x14ac:dyDescent="0.25">
      <c r="J464" s="436"/>
      <c r="K464" s="436"/>
    </row>
    <row r="465" spans="10:11" x14ac:dyDescent="0.25">
      <c r="J465" s="436"/>
      <c r="K465" s="436"/>
    </row>
    <row r="466" spans="10:11" x14ac:dyDescent="0.25">
      <c r="J466" s="436"/>
      <c r="K466" s="436"/>
    </row>
    <row r="467" spans="10:11" x14ac:dyDescent="0.25">
      <c r="J467" s="436"/>
      <c r="K467" s="436"/>
    </row>
    <row r="468" spans="10:11" x14ac:dyDescent="0.25">
      <c r="J468" s="436"/>
      <c r="K468" s="436"/>
    </row>
    <row r="469" spans="10:11" x14ac:dyDescent="0.25">
      <c r="J469" s="436"/>
      <c r="K469" s="436"/>
    </row>
    <row r="470" spans="10:11" x14ac:dyDescent="0.25">
      <c r="J470" s="436"/>
      <c r="K470" s="436"/>
    </row>
    <row r="471" spans="10:11" x14ac:dyDescent="0.25">
      <c r="J471" s="436"/>
      <c r="K471" s="436"/>
    </row>
    <row r="472" spans="10:11" x14ac:dyDescent="0.25">
      <c r="J472" s="436"/>
      <c r="K472" s="436"/>
    </row>
    <row r="473" spans="10:11" x14ac:dyDescent="0.25">
      <c r="J473" s="436"/>
      <c r="K473" s="436"/>
    </row>
    <row r="474" spans="10:11" x14ac:dyDescent="0.25">
      <c r="J474" s="436"/>
      <c r="K474" s="436"/>
    </row>
    <row r="475" spans="10:11" x14ac:dyDescent="0.25">
      <c r="J475" s="436"/>
      <c r="K475" s="436"/>
    </row>
    <row r="476" spans="10:11" x14ac:dyDescent="0.25">
      <c r="J476" s="436"/>
      <c r="K476" s="436"/>
    </row>
    <row r="477" spans="10:11" x14ac:dyDescent="0.25">
      <c r="J477" s="436"/>
      <c r="K477" s="436"/>
    </row>
    <row r="478" spans="10:11" x14ac:dyDescent="0.25">
      <c r="J478" s="436"/>
      <c r="K478" s="436"/>
    </row>
    <row r="479" spans="10:11" x14ac:dyDescent="0.25">
      <c r="J479" s="436"/>
      <c r="K479" s="436"/>
    </row>
    <row r="480" spans="10:11" x14ac:dyDescent="0.25">
      <c r="J480" s="436"/>
      <c r="K480" s="436"/>
    </row>
    <row r="481" spans="10:11" x14ac:dyDescent="0.25">
      <c r="J481" s="436"/>
      <c r="K481" s="436"/>
    </row>
    <row r="482" spans="10:11" x14ac:dyDescent="0.25">
      <c r="J482" s="436"/>
      <c r="K482" s="436"/>
    </row>
    <row r="483" spans="10:11" x14ac:dyDescent="0.25">
      <c r="J483" s="436"/>
      <c r="K483" s="436"/>
    </row>
    <row r="484" spans="10:11" x14ac:dyDescent="0.25">
      <c r="J484" s="436"/>
      <c r="K484" s="436"/>
    </row>
    <row r="485" spans="10:11" x14ac:dyDescent="0.25">
      <c r="J485" s="436"/>
      <c r="K485" s="436"/>
    </row>
    <row r="486" spans="10:11" x14ac:dyDescent="0.25">
      <c r="J486" s="436"/>
      <c r="K486" s="436"/>
    </row>
    <row r="487" spans="10:11" x14ac:dyDescent="0.25">
      <c r="J487" s="436"/>
      <c r="K487" s="436"/>
    </row>
    <row r="488" spans="10:11" x14ac:dyDescent="0.25">
      <c r="J488" s="436"/>
      <c r="K488" s="436"/>
    </row>
    <row r="489" spans="10:11" x14ac:dyDescent="0.25">
      <c r="J489" s="436"/>
      <c r="K489" s="436"/>
    </row>
    <row r="490" spans="10:11" x14ac:dyDescent="0.25">
      <c r="J490" s="436"/>
      <c r="K490" s="436"/>
    </row>
    <row r="491" spans="10:11" x14ac:dyDescent="0.25">
      <c r="J491" s="436"/>
      <c r="K491" s="436"/>
    </row>
    <row r="492" spans="10:11" x14ac:dyDescent="0.25">
      <c r="J492" s="436"/>
      <c r="K492" s="436"/>
    </row>
    <row r="493" spans="10:11" x14ac:dyDescent="0.25">
      <c r="J493" s="436"/>
      <c r="K493" s="436"/>
    </row>
    <row r="494" spans="10:11" x14ac:dyDescent="0.25">
      <c r="J494" s="436"/>
      <c r="K494" s="436"/>
    </row>
    <row r="495" spans="10:11" x14ac:dyDescent="0.25">
      <c r="J495" s="436"/>
      <c r="K495" s="436"/>
    </row>
    <row r="496" spans="10:11" x14ac:dyDescent="0.25">
      <c r="J496" s="436"/>
      <c r="K496" s="436"/>
    </row>
    <row r="497" spans="10:11" x14ac:dyDescent="0.25">
      <c r="J497" s="436"/>
      <c r="K497" s="436"/>
    </row>
    <row r="498" spans="10:11" x14ac:dyDescent="0.25">
      <c r="J498" s="436"/>
      <c r="K498" s="436"/>
    </row>
    <row r="499" spans="10:11" x14ac:dyDescent="0.25">
      <c r="J499" s="436"/>
      <c r="K499" s="436"/>
    </row>
    <row r="500" spans="10:11" x14ac:dyDescent="0.25">
      <c r="J500" s="436"/>
      <c r="K500" s="436"/>
    </row>
    <row r="501" spans="10:11" x14ac:dyDescent="0.25">
      <c r="J501" s="436"/>
      <c r="K501" s="436"/>
    </row>
    <row r="502" spans="10:11" x14ac:dyDescent="0.25">
      <c r="J502" s="436"/>
      <c r="K502" s="436"/>
    </row>
    <row r="503" spans="10:11" x14ac:dyDescent="0.25">
      <c r="J503" s="436"/>
      <c r="K503" s="436"/>
    </row>
    <row r="504" spans="10:11" x14ac:dyDescent="0.25">
      <c r="J504" s="436"/>
      <c r="K504" s="436"/>
    </row>
    <row r="505" spans="10:11" x14ac:dyDescent="0.25">
      <c r="J505" s="436"/>
      <c r="K505" s="436"/>
    </row>
    <row r="506" spans="10:11" x14ac:dyDescent="0.25">
      <c r="J506" s="436"/>
      <c r="K506" s="436"/>
    </row>
    <row r="507" spans="10:11" x14ac:dyDescent="0.25">
      <c r="J507" s="436"/>
      <c r="K507" s="436"/>
    </row>
    <row r="508" spans="10:11" x14ac:dyDescent="0.25">
      <c r="J508" s="436"/>
      <c r="K508" s="436"/>
    </row>
    <row r="509" spans="10:11" x14ac:dyDescent="0.25">
      <c r="J509" s="436"/>
      <c r="K509" s="436"/>
    </row>
    <row r="510" spans="10:11" x14ac:dyDescent="0.25">
      <c r="J510" s="436"/>
      <c r="K510" s="436"/>
    </row>
    <row r="511" spans="10:11" x14ac:dyDescent="0.25">
      <c r="J511" s="436"/>
      <c r="K511" s="436"/>
    </row>
    <row r="512" spans="10:11" x14ac:dyDescent="0.25">
      <c r="J512" s="436"/>
      <c r="K512" s="436"/>
    </row>
    <row r="513" spans="10:11" x14ac:dyDescent="0.25">
      <c r="J513" s="436"/>
      <c r="K513" s="436"/>
    </row>
    <row r="514" spans="10:11" x14ac:dyDescent="0.25">
      <c r="J514" s="436"/>
      <c r="K514" s="436"/>
    </row>
    <row r="515" spans="10:11" x14ac:dyDescent="0.25">
      <c r="J515" s="436"/>
      <c r="K515" s="436"/>
    </row>
    <row r="516" spans="10:11" x14ac:dyDescent="0.25">
      <c r="J516" s="436"/>
      <c r="K516" s="436"/>
    </row>
    <row r="517" spans="10:11" x14ac:dyDescent="0.25">
      <c r="J517" s="436"/>
      <c r="K517" s="436"/>
    </row>
    <row r="518" spans="10:11" x14ac:dyDescent="0.25">
      <c r="J518" s="436"/>
      <c r="K518" s="436"/>
    </row>
    <row r="519" spans="10:11" x14ac:dyDescent="0.25">
      <c r="J519" s="436"/>
      <c r="K519" s="436"/>
    </row>
    <row r="520" spans="10:11" x14ac:dyDescent="0.25">
      <c r="J520" s="436"/>
      <c r="K520" s="436"/>
    </row>
    <row r="521" spans="10:11" x14ac:dyDescent="0.25">
      <c r="J521" s="436"/>
      <c r="K521" s="436"/>
    </row>
    <row r="522" spans="10:11" x14ac:dyDescent="0.25">
      <c r="J522" s="436"/>
      <c r="K522" s="436"/>
    </row>
    <row r="523" spans="10:11" x14ac:dyDescent="0.25">
      <c r="J523" s="436"/>
      <c r="K523" s="436"/>
    </row>
    <row r="524" spans="10:11" x14ac:dyDescent="0.25">
      <c r="J524" s="436"/>
      <c r="K524" s="436"/>
    </row>
    <row r="525" spans="10:11" x14ac:dyDescent="0.25">
      <c r="J525" s="436"/>
      <c r="K525" s="436"/>
    </row>
    <row r="526" spans="10:11" x14ac:dyDescent="0.25">
      <c r="J526" s="436"/>
      <c r="K526" s="436"/>
    </row>
    <row r="527" spans="10:11" x14ac:dyDescent="0.25">
      <c r="J527" s="436"/>
      <c r="K527" s="436"/>
    </row>
    <row r="528" spans="10:11" x14ac:dyDescent="0.25">
      <c r="J528" s="436"/>
      <c r="K528" s="436"/>
    </row>
    <row r="529" spans="10:11" x14ac:dyDescent="0.25">
      <c r="J529" s="436"/>
      <c r="K529" s="436"/>
    </row>
    <row r="530" spans="10:11" x14ac:dyDescent="0.25">
      <c r="J530" s="436"/>
      <c r="K530" s="436"/>
    </row>
    <row r="531" spans="10:11" x14ac:dyDescent="0.25">
      <c r="J531" s="436"/>
      <c r="K531" s="436"/>
    </row>
    <row r="532" spans="10:11" x14ac:dyDescent="0.25">
      <c r="J532" s="436"/>
      <c r="K532" s="436"/>
    </row>
    <row r="533" spans="10:11" x14ac:dyDescent="0.25">
      <c r="J533" s="436"/>
      <c r="K533" s="436"/>
    </row>
    <row r="534" spans="10:11" x14ac:dyDescent="0.25">
      <c r="J534" s="436"/>
      <c r="K534" s="436"/>
    </row>
    <row r="535" spans="10:11" x14ac:dyDescent="0.25">
      <c r="J535" s="436"/>
      <c r="K535" s="436"/>
    </row>
    <row r="536" spans="10:11" x14ac:dyDescent="0.25">
      <c r="J536" s="436"/>
      <c r="K536" s="436"/>
    </row>
    <row r="537" spans="10:11" x14ac:dyDescent="0.25">
      <c r="J537" s="436"/>
      <c r="K537" s="436"/>
    </row>
    <row r="538" spans="10:11" x14ac:dyDescent="0.25">
      <c r="J538" s="436"/>
      <c r="K538" s="436"/>
    </row>
    <row r="539" spans="10:11" x14ac:dyDescent="0.25">
      <c r="J539" s="436"/>
      <c r="K539" s="436"/>
    </row>
    <row r="540" spans="10:11" x14ac:dyDescent="0.25">
      <c r="J540" s="436"/>
      <c r="K540" s="436"/>
    </row>
    <row r="541" spans="10:11" x14ac:dyDescent="0.25">
      <c r="J541" s="436"/>
      <c r="K541" s="436"/>
    </row>
    <row r="542" spans="10:11" x14ac:dyDescent="0.25">
      <c r="J542" s="436"/>
      <c r="K542" s="436"/>
    </row>
    <row r="543" spans="10:11" x14ac:dyDescent="0.25">
      <c r="J543" s="436"/>
      <c r="K543" s="436"/>
    </row>
    <row r="544" spans="10:11" x14ac:dyDescent="0.25">
      <c r="J544" s="436"/>
      <c r="K544" s="436"/>
    </row>
    <row r="545" spans="10:11" x14ac:dyDescent="0.25">
      <c r="J545" s="436"/>
      <c r="K545" s="436"/>
    </row>
    <row r="546" spans="10:11" x14ac:dyDescent="0.25">
      <c r="J546" s="436"/>
      <c r="K546" s="436"/>
    </row>
    <row r="547" spans="10:11" x14ac:dyDescent="0.25">
      <c r="J547" s="436"/>
      <c r="K547" s="436"/>
    </row>
    <row r="548" spans="10:11" x14ac:dyDescent="0.25">
      <c r="J548" s="436"/>
      <c r="K548" s="436"/>
    </row>
    <row r="549" spans="10:11" x14ac:dyDescent="0.25">
      <c r="J549" s="436"/>
      <c r="K549" s="436"/>
    </row>
    <row r="550" spans="10:11" x14ac:dyDescent="0.25">
      <c r="J550" s="436"/>
      <c r="K550" s="436"/>
    </row>
    <row r="551" spans="10:11" x14ac:dyDescent="0.25">
      <c r="J551" s="436"/>
      <c r="K551" s="436"/>
    </row>
    <row r="552" spans="10:11" x14ac:dyDescent="0.25">
      <c r="J552" s="436"/>
      <c r="K552" s="436"/>
    </row>
    <row r="553" spans="10:11" x14ac:dyDescent="0.25">
      <c r="J553" s="436"/>
      <c r="K553" s="436"/>
    </row>
    <row r="554" spans="10:11" x14ac:dyDescent="0.25">
      <c r="J554" s="436"/>
      <c r="K554" s="436"/>
    </row>
    <row r="555" spans="10:11" x14ac:dyDescent="0.25">
      <c r="J555" s="436"/>
      <c r="K555" s="436"/>
    </row>
    <row r="556" spans="10:11" x14ac:dyDescent="0.25">
      <c r="J556" s="436"/>
      <c r="K556" s="436"/>
    </row>
    <row r="557" spans="10:11" x14ac:dyDescent="0.25">
      <c r="J557" s="436"/>
      <c r="K557" s="436"/>
    </row>
    <row r="558" spans="10:11" x14ac:dyDescent="0.25">
      <c r="J558" s="436"/>
      <c r="K558" s="436"/>
    </row>
    <row r="559" spans="10:11" x14ac:dyDescent="0.25">
      <c r="J559" s="436"/>
      <c r="K559" s="436"/>
    </row>
    <row r="560" spans="10:11" x14ac:dyDescent="0.25">
      <c r="J560" s="436"/>
      <c r="K560" s="436"/>
    </row>
    <row r="561" spans="10:11" x14ac:dyDescent="0.25">
      <c r="J561" s="436"/>
      <c r="K561" s="436"/>
    </row>
    <row r="562" spans="10:11" x14ac:dyDescent="0.25">
      <c r="J562" s="436"/>
      <c r="K562" s="436"/>
    </row>
    <row r="563" spans="10:11" x14ac:dyDescent="0.25">
      <c r="J563" s="436"/>
      <c r="K563" s="436"/>
    </row>
    <row r="564" spans="10:11" x14ac:dyDescent="0.25">
      <c r="J564" s="436"/>
      <c r="K564" s="436"/>
    </row>
    <row r="565" spans="10:11" x14ac:dyDescent="0.25">
      <c r="J565" s="436"/>
      <c r="K565" s="436"/>
    </row>
    <row r="566" spans="10:11" x14ac:dyDescent="0.25">
      <c r="J566" s="436"/>
      <c r="K566" s="436"/>
    </row>
    <row r="567" spans="10:11" x14ac:dyDescent="0.25">
      <c r="J567" s="436"/>
      <c r="K567" s="436"/>
    </row>
    <row r="568" spans="10:11" x14ac:dyDescent="0.25">
      <c r="J568" s="436"/>
      <c r="K568" s="436"/>
    </row>
    <row r="569" spans="10:11" x14ac:dyDescent="0.25">
      <c r="J569" s="436"/>
      <c r="K569" s="436"/>
    </row>
    <row r="570" spans="10:11" x14ac:dyDescent="0.25">
      <c r="J570" s="436"/>
      <c r="K570" s="436"/>
    </row>
    <row r="571" spans="10:11" x14ac:dyDescent="0.25">
      <c r="J571" s="436"/>
      <c r="K571" s="436"/>
    </row>
    <row r="572" spans="10:11" x14ac:dyDescent="0.25">
      <c r="J572" s="436"/>
      <c r="K572" s="436"/>
    </row>
    <row r="573" spans="10:11" x14ac:dyDescent="0.25">
      <c r="J573" s="436"/>
      <c r="K573" s="436"/>
    </row>
    <row r="574" spans="10:11" x14ac:dyDescent="0.25">
      <c r="J574" s="436"/>
      <c r="K574" s="436"/>
    </row>
    <row r="575" spans="10:11" x14ac:dyDescent="0.25">
      <c r="J575" s="436"/>
      <c r="K575" s="436"/>
    </row>
    <row r="576" spans="10:11" x14ac:dyDescent="0.25">
      <c r="J576" s="436"/>
      <c r="K576" s="436"/>
    </row>
    <row r="577" spans="10:11" x14ac:dyDescent="0.25">
      <c r="J577" s="436"/>
      <c r="K577" s="436"/>
    </row>
    <row r="578" spans="10:11" x14ac:dyDescent="0.25">
      <c r="J578" s="436"/>
      <c r="K578" s="436"/>
    </row>
    <row r="579" spans="10:11" x14ac:dyDescent="0.25">
      <c r="J579" s="436"/>
      <c r="K579" s="436"/>
    </row>
    <row r="580" spans="10:11" x14ac:dyDescent="0.25">
      <c r="J580" s="436"/>
      <c r="K580" s="436"/>
    </row>
    <row r="581" spans="10:11" x14ac:dyDescent="0.25">
      <c r="J581" s="436"/>
      <c r="K581" s="436"/>
    </row>
    <row r="582" spans="10:11" x14ac:dyDescent="0.25">
      <c r="J582" s="436"/>
      <c r="K582" s="436"/>
    </row>
    <row r="583" spans="10:11" x14ac:dyDescent="0.25">
      <c r="J583" s="436"/>
      <c r="K583" s="436"/>
    </row>
    <row r="584" spans="10:11" x14ac:dyDescent="0.25">
      <c r="J584" s="436"/>
      <c r="K584" s="436"/>
    </row>
    <row r="585" spans="10:11" x14ac:dyDescent="0.25">
      <c r="J585" s="436"/>
      <c r="K585" s="436"/>
    </row>
    <row r="586" spans="10:11" x14ac:dyDescent="0.25">
      <c r="J586" s="436"/>
      <c r="K586" s="436"/>
    </row>
    <row r="587" spans="10:11" x14ac:dyDescent="0.25">
      <c r="J587" s="436"/>
      <c r="K587" s="436"/>
    </row>
    <row r="588" spans="10:11" x14ac:dyDescent="0.25">
      <c r="J588" s="436"/>
      <c r="K588" s="436"/>
    </row>
    <row r="589" spans="10:11" x14ac:dyDescent="0.25">
      <c r="J589" s="436"/>
      <c r="K589" s="436"/>
    </row>
    <row r="590" spans="10:11" x14ac:dyDescent="0.25">
      <c r="J590" s="436"/>
      <c r="K590" s="436"/>
    </row>
    <row r="591" spans="10:11" x14ac:dyDescent="0.25">
      <c r="J591" s="436"/>
      <c r="K591" s="436"/>
    </row>
    <row r="592" spans="10:11" x14ac:dyDescent="0.25">
      <c r="J592" s="436"/>
      <c r="K592" s="436"/>
    </row>
    <row r="593" spans="10:11" x14ac:dyDescent="0.25">
      <c r="J593" s="436"/>
      <c r="K593" s="436"/>
    </row>
    <row r="594" spans="10:11" x14ac:dyDescent="0.25">
      <c r="J594" s="436"/>
      <c r="K594" s="436"/>
    </row>
    <row r="595" spans="10:11" x14ac:dyDescent="0.25">
      <c r="J595" s="436"/>
      <c r="K595" s="436"/>
    </row>
    <row r="596" spans="10:11" x14ac:dyDescent="0.25">
      <c r="J596" s="436"/>
      <c r="K596" s="436"/>
    </row>
    <row r="597" spans="10:11" x14ac:dyDescent="0.25">
      <c r="J597" s="436"/>
      <c r="K597" s="436"/>
    </row>
    <row r="598" spans="10:11" x14ac:dyDescent="0.25">
      <c r="J598" s="436"/>
      <c r="K598" s="436"/>
    </row>
    <row r="599" spans="10:11" x14ac:dyDescent="0.25">
      <c r="J599" s="436"/>
      <c r="K599" s="436"/>
    </row>
    <row r="600" spans="10:11" x14ac:dyDescent="0.25">
      <c r="J600" s="436"/>
      <c r="K600" s="436"/>
    </row>
    <row r="601" spans="10:11" x14ac:dyDescent="0.25">
      <c r="J601" s="436"/>
      <c r="K601" s="436"/>
    </row>
    <row r="602" spans="10:11" x14ac:dyDescent="0.25">
      <c r="J602" s="436"/>
      <c r="K602" s="436"/>
    </row>
    <row r="603" spans="10:11" x14ac:dyDescent="0.25">
      <c r="J603" s="436"/>
      <c r="K603" s="436"/>
    </row>
    <row r="604" spans="10:11" x14ac:dyDescent="0.25">
      <c r="J604" s="436"/>
      <c r="K604" s="436"/>
    </row>
    <row r="605" spans="10:11" x14ac:dyDescent="0.25">
      <c r="J605" s="436"/>
      <c r="K605" s="436"/>
    </row>
    <row r="606" spans="10:11" x14ac:dyDescent="0.25">
      <c r="J606" s="436"/>
      <c r="K606" s="436"/>
    </row>
    <row r="607" spans="10:11" x14ac:dyDescent="0.25">
      <c r="J607" s="436"/>
      <c r="K607" s="436"/>
    </row>
    <row r="608" spans="10:11" x14ac:dyDescent="0.25">
      <c r="J608" s="436"/>
      <c r="K608" s="436"/>
    </row>
    <row r="609" spans="10:11" x14ac:dyDescent="0.25">
      <c r="J609" s="436"/>
      <c r="K609" s="436"/>
    </row>
    <row r="610" spans="10:11" x14ac:dyDescent="0.25">
      <c r="J610" s="436"/>
      <c r="K610" s="436"/>
    </row>
    <row r="611" spans="10:11" x14ac:dyDescent="0.25">
      <c r="J611" s="436"/>
      <c r="K611" s="436"/>
    </row>
    <row r="612" spans="10:11" x14ac:dyDescent="0.25">
      <c r="J612" s="436"/>
      <c r="K612" s="436"/>
    </row>
    <row r="613" spans="10:11" x14ac:dyDescent="0.25">
      <c r="J613" s="436"/>
      <c r="K613" s="436"/>
    </row>
    <row r="614" spans="10:11" x14ac:dyDescent="0.25">
      <c r="J614" s="436"/>
      <c r="K614" s="436"/>
    </row>
    <row r="615" spans="10:11" x14ac:dyDescent="0.25">
      <c r="J615" s="436"/>
      <c r="K615" s="436"/>
    </row>
    <row r="616" spans="10:11" x14ac:dyDescent="0.25">
      <c r="J616" s="436"/>
      <c r="K616" s="436"/>
    </row>
    <row r="617" spans="10:11" x14ac:dyDescent="0.25">
      <c r="J617" s="436"/>
      <c r="K617" s="436"/>
    </row>
    <row r="618" spans="10:11" x14ac:dyDescent="0.25">
      <c r="J618" s="436"/>
      <c r="K618" s="436"/>
    </row>
    <row r="619" spans="10:11" x14ac:dyDescent="0.25">
      <c r="J619" s="436"/>
      <c r="K619" s="436"/>
    </row>
    <row r="620" spans="10:11" x14ac:dyDescent="0.25">
      <c r="J620" s="436"/>
      <c r="K620" s="436"/>
    </row>
    <row r="621" spans="10:11" x14ac:dyDescent="0.25">
      <c r="J621" s="436"/>
      <c r="K621" s="436"/>
    </row>
    <row r="622" spans="10:11" x14ac:dyDescent="0.25">
      <c r="J622" s="436"/>
      <c r="K622" s="436"/>
    </row>
    <row r="623" spans="10:11" x14ac:dyDescent="0.25">
      <c r="J623" s="436"/>
      <c r="K623" s="436"/>
    </row>
    <row r="624" spans="10:11" x14ac:dyDescent="0.25">
      <c r="J624" s="436"/>
      <c r="K624" s="436"/>
    </row>
    <row r="625" spans="10:11" x14ac:dyDescent="0.25">
      <c r="J625" s="436"/>
      <c r="K625" s="436"/>
    </row>
    <row r="626" spans="10:11" x14ac:dyDescent="0.25">
      <c r="J626" s="436"/>
      <c r="K626" s="436"/>
    </row>
    <row r="627" spans="10:11" x14ac:dyDescent="0.25">
      <c r="J627" s="436"/>
      <c r="K627" s="436"/>
    </row>
    <row r="628" spans="10:11" x14ac:dyDescent="0.25">
      <c r="J628" s="436"/>
      <c r="K628" s="436"/>
    </row>
    <row r="629" spans="10:11" x14ac:dyDescent="0.25">
      <c r="J629" s="436"/>
      <c r="K629" s="436"/>
    </row>
    <row r="630" spans="10:11" x14ac:dyDescent="0.25">
      <c r="J630" s="436"/>
      <c r="K630" s="436"/>
    </row>
    <row r="631" spans="10:11" x14ac:dyDescent="0.25">
      <c r="J631" s="436"/>
      <c r="K631" s="436"/>
    </row>
    <row r="632" spans="10:11" x14ac:dyDescent="0.25">
      <c r="J632" s="436"/>
      <c r="K632" s="436"/>
    </row>
    <row r="633" spans="10:11" x14ac:dyDescent="0.25">
      <c r="J633" s="436"/>
      <c r="K633" s="436"/>
    </row>
    <row r="634" spans="10:11" x14ac:dyDescent="0.25">
      <c r="J634" s="436"/>
      <c r="K634" s="436"/>
    </row>
    <row r="635" spans="10:11" x14ac:dyDescent="0.25">
      <c r="J635" s="436"/>
      <c r="K635" s="436"/>
    </row>
    <row r="636" spans="10:11" x14ac:dyDescent="0.25">
      <c r="J636" s="436"/>
      <c r="K636" s="436"/>
    </row>
    <row r="637" spans="10:11" x14ac:dyDescent="0.25">
      <c r="J637" s="436"/>
      <c r="K637" s="436"/>
    </row>
    <row r="638" spans="10:11" x14ac:dyDescent="0.25">
      <c r="J638" s="436"/>
      <c r="K638" s="436"/>
    </row>
    <row r="639" spans="10:11" x14ac:dyDescent="0.25">
      <c r="J639" s="436"/>
      <c r="K639" s="436"/>
    </row>
    <row r="640" spans="10:11" x14ac:dyDescent="0.25">
      <c r="J640" s="436"/>
      <c r="K640" s="436"/>
    </row>
    <row r="641" spans="10:11" x14ac:dyDescent="0.25">
      <c r="J641" s="436"/>
      <c r="K641" s="436"/>
    </row>
    <row r="642" spans="10:11" x14ac:dyDescent="0.25">
      <c r="J642" s="436"/>
      <c r="K642" s="436"/>
    </row>
    <row r="643" spans="10:11" x14ac:dyDescent="0.25">
      <c r="J643" s="436"/>
      <c r="K643" s="436"/>
    </row>
    <row r="644" spans="10:11" x14ac:dyDescent="0.25">
      <c r="J644" s="436"/>
      <c r="K644" s="436"/>
    </row>
    <row r="645" spans="10:11" x14ac:dyDescent="0.25">
      <c r="J645" s="436"/>
      <c r="K645" s="436"/>
    </row>
    <row r="646" spans="10:11" x14ac:dyDescent="0.25">
      <c r="J646" s="436"/>
      <c r="K646" s="436"/>
    </row>
    <row r="647" spans="10:11" x14ac:dyDescent="0.25">
      <c r="J647" s="436"/>
      <c r="K647" s="436"/>
    </row>
    <row r="648" spans="10:11" x14ac:dyDescent="0.25">
      <c r="J648" s="436"/>
      <c r="K648" s="436"/>
    </row>
    <row r="649" spans="10:11" x14ac:dyDescent="0.25">
      <c r="J649" s="436"/>
      <c r="K649" s="436"/>
    </row>
    <row r="650" spans="10:11" x14ac:dyDescent="0.25">
      <c r="J650" s="436"/>
      <c r="K650" s="436"/>
    </row>
    <row r="651" spans="10:11" x14ac:dyDescent="0.25">
      <c r="J651" s="436"/>
      <c r="K651" s="436"/>
    </row>
    <row r="652" spans="10:11" x14ac:dyDescent="0.25">
      <c r="J652" s="436"/>
      <c r="K652" s="436"/>
    </row>
    <row r="653" spans="10:11" x14ac:dyDescent="0.25">
      <c r="J653" s="436"/>
      <c r="K653" s="436"/>
    </row>
    <row r="654" spans="10:11" x14ac:dyDescent="0.25">
      <c r="J654" s="436"/>
      <c r="K654" s="436"/>
    </row>
    <row r="655" spans="10:11" x14ac:dyDescent="0.25">
      <c r="J655" s="436"/>
      <c r="K655" s="436"/>
    </row>
    <row r="656" spans="10:11" x14ac:dyDescent="0.25">
      <c r="J656" s="436"/>
      <c r="K656" s="436"/>
    </row>
    <row r="657" spans="10:11" x14ac:dyDescent="0.25">
      <c r="J657" s="436"/>
      <c r="K657" s="436"/>
    </row>
    <row r="658" spans="10:11" x14ac:dyDescent="0.25">
      <c r="J658" s="436"/>
      <c r="K658" s="436"/>
    </row>
    <row r="659" spans="10:11" x14ac:dyDescent="0.25">
      <c r="J659" s="436"/>
      <c r="K659" s="436"/>
    </row>
    <row r="660" spans="10:11" x14ac:dyDescent="0.25">
      <c r="J660" s="436"/>
      <c r="K660" s="436"/>
    </row>
    <row r="661" spans="10:11" x14ac:dyDescent="0.25">
      <c r="J661" s="436"/>
      <c r="K661" s="436"/>
    </row>
    <row r="662" spans="10:11" x14ac:dyDescent="0.25">
      <c r="J662" s="436"/>
      <c r="K662" s="436"/>
    </row>
    <row r="663" spans="10:11" x14ac:dyDescent="0.25">
      <c r="J663" s="436"/>
      <c r="K663" s="436"/>
    </row>
    <row r="664" spans="10:11" x14ac:dyDescent="0.25">
      <c r="J664" s="436"/>
      <c r="K664" s="436"/>
    </row>
    <row r="665" spans="10:11" x14ac:dyDescent="0.25">
      <c r="J665" s="436"/>
      <c r="K665" s="436"/>
    </row>
    <row r="666" spans="10:11" x14ac:dyDescent="0.25">
      <c r="J666" s="436"/>
      <c r="K666" s="436"/>
    </row>
    <row r="667" spans="10:11" x14ac:dyDescent="0.25">
      <c r="J667" s="436"/>
      <c r="K667" s="436"/>
    </row>
    <row r="668" spans="10:11" x14ac:dyDescent="0.25">
      <c r="J668" s="436"/>
      <c r="K668" s="436"/>
    </row>
    <row r="669" spans="10:11" x14ac:dyDescent="0.25">
      <c r="J669" s="436"/>
      <c r="K669" s="436"/>
    </row>
    <row r="670" spans="10:11" x14ac:dyDescent="0.25">
      <c r="J670" s="436"/>
      <c r="K670" s="436"/>
    </row>
    <row r="671" spans="10:11" x14ac:dyDescent="0.25">
      <c r="J671" s="436"/>
      <c r="K671" s="436"/>
    </row>
    <row r="672" spans="10:11" x14ac:dyDescent="0.25">
      <c r="J672" s="436"/>
      <c r="K672" s="436"/>
    </row>
    <row r="673" spans="10:11" x14ac:dyDescent="0.25">
      <c r="J673" s="436"/>
      <c r="K673" s="436"/>
    </row>
    <row r="674" spans="10:11" x14ac:dyDescent="0.25">
      <c r="J674" s="436"/>
      <c r="K674" s="436"/>
    </row>
    <row r="675" spans="10:11" x14ac:dyDescent="0.25">
      <c r="J675" s="436"/>
      <c r="K675" s="436"/>
    </row>
    <row r="676" spans="10:11" x14ac:dyDescent="0.25">
      <c r="J676" s="436"/>
      <c r="K676" s="436"/>
    </row>
    <row r="677" spans="10:11" x14ac:dyDescent="0.25">
      <c r="J677" s="436"/>
      <c r="K677" s="436"/>
    </row>
    <row r="678" spans="10:11" x14ac:dyDescent="0.25">
      <c r="J678" s="436"/>
      <c r="K678" s="436"/>
    </row>
    <row r="679" spans="10:11" x14ac:dyDescent="0.25">
      <c r="J679" s="436"/>
      <c r="K679" s="436"/>
    </row>
    <row r="680" spans="10:11" x14ac:dyDescent="0.25">
      <c r="J680" s="436"/>
      <c r="K680" s="436"/>
    </row>
    <row r="681" spans="10:11" x14ac:dyDescent="0.25">
      <c r="J681" s="436"/>
      <c r="K681" s="436"/>
    </row>
    <row r="682" spans="10:11" x14ac:dyDescent="0.25">
      <c r="J682" s="436"/>
      <c r="K682" s="436"/>
    </row>
    <row r="683" spans="10:11" x14ac:dyDescent="0.25">
      <c r="J683" s="436"/>
      <c r="K683" s="436"/>
    </row>
    <row r="684" spans="10:11" x14ac:dyDescent="0.25">
      <c r="J684" s="436"/>
      <c r="K684" s="436"/>
    </row>
    <row r="685" spans="10:11" x14ac:dyDescent="0.25">
      <c r="J685" s="436"/>
      <c r="K685" s="436"/>
    </row>
    <row r="686" spans="10:11" x14ac:dyDescent="0.25">
      <c r="J686" s="436"/>
      <c r="K686" s="436"/>
    </row>
    <row r="687" spans="10:11" x14ac:dyDescent="0.25">
      <c r="J687" s="436"/>
      <c r="K687" s="436"/>
    </row>
    <row r="688" spans="10:11" x14ac:dyDescent="0.25">
      <c r="J688" s="436"/>
      <c r="K688" s="436"/>
    </row>
    <row r="689" spans="10:11" x14ac:dyDescent="0.25">
      <c r="J689" s="436"/>
      <c r="K689" s="436"/>
    </row>
    <row r="690" spans="10:11" x14ac:dyDescent="0.25">
      <c r="J690" s="436"/>
      <c r="K690" s="436"/>
    </row>
    <row r="691" spans="10:11" x14ac:dyDescent="0.25">
      <c r="J691" s="436"/>
      <c r="K691" s="436"/>
    </row>
    <row r="692" spans="10:11" x14ac:dyDescent="0.25">
      <c r="J692" s="436"/>
      <c r="K692" s="436"/>
    </row>
    <row r="693" spans="10:11" x14ac:dyDescent="0.25">
      <c r="J693" s="436"/>
      <c r="K693" s="436"/>
    </row>
    <row r="694" spans="10:11" x14ac:dyDescent="0.25">
      <c r="J694" s="436"/>
      <c r="K694" s="436"/>
    </row>
    <row r="695" spans="10:11" x14ac:dyDescent="0.25">
      <c r="J695" s="436"/>
      <c r="K695" s="436"/>
    </row>
    <row r="696" spans="10:11" x14ac:dyDescent="0.25">
      <c r="J696" s="436"/>
      <c r="K696" s="436"/>
    </row>
    <row r="697" spans="10:11" x14ac:dyDescent="0.25">
      <c r="J697" s="436"/>
      <c r="K697" s="436"/>
    </row>
    <row r="698" spans="10:11" x14ac:dyDescent="0.25">
      <c r="J698" s="436"/>
      <c r="K698" s="436"/>
    </row>
    <row r="699" spans="10:11" x14ac:dyDescent="0.25">
      <c r="J699" s="436"/>
      <c r="K699" s="436"/>
    </row>
    <row r="700" spans="10:11" x14ac:dyDescent="0.25">
      <c r="J700" s="436"/>
      <c r="K700" s="436"/>
    </row>
    <row r="701" spans="10:11" x14ac:dyDescent="0.25">
      <c r="J701" s="436"/>
      <c r="K701" s="436"/>
    </row>
    <row r="702" spans="10:11" x14ac:dyDescent="0.25">
      <c r="J702" s="436"/>
      <c r="K702" s="436"/>
    </row>
    <row r="703" spans="10:11" x14ac:dyDescent="0.25">
      <c r="J703" s="436"/>
      <c r="K703" s="436"/>
    </row>
    <row r="704" spans="10:11" x14ac:dyDescent="0.25">
      <c r="J704" s="436"/>
      <c r="K704" s="436"/>
    </row>
    <row r="705" spans="10:11" x14ac:dyDescent="0.25">
      <c r="J705" s="436"/>
      <c r="K705" s="436"/>
    </row>
    <row r="706" spans="10:11" x14ac:dyDescent="0.25">
      <c r="J706" s="436"/>
      <c r="K706" s="436"/>
    </row>
    <row r="707" spans="10:11" x14ac:dyDescent="0.25">
      <c r="J707" s="436"/>
      <c r="K707" s="436"/>
    </row>
    <row r="708" spans="10:11" x14ac:dyDescent="0.25">
      <c r="J708" s="436"/>
      <c r="K708" s="436"/>
    </row>
    <row r="709" spans="10:11" x14ac:dyDescent="0.25">
      <c r="J709" s="436"/>
      <c r="K709" s="436"/>
    </row>
    <row r="710" spans="10:11" x14ac:dyDescent="0.25">
      <c r="J710" s="436"/>
      <c r="K710" s="436"/>
    </row>
    <row r="711" spans="10:11" x14ac:dyDescent="0.25">
      <c r="J711" s="436"/>
      <c r="K711" s="436"/>
    </row>
    <row r="712" spans="10:11" x14ac:dyDescent="0.25">
      <c r="J712" s="436"/>
      <c r="K712" s="436"/>
    </row>
    <row r="713" spans="10:11" x14ac:dyDescent="0.25">
      <c r="J713" s="436"/>
      <c r="K713" s="436"/>
    </row>
    <row r="714" spans="10:11" x14ac:dyDescent="0.25">
      <c r="J714" s="436"/>
      <c r="K714" s="436"/>
    </row>
    <row r="715" spans="10:11" x14ac:dyDescent="0.25">
      <c r="J715" s="436"/>
      <c r="K715" s="436"/>
    </row>
    <row r="716" spans="10:11" x14ac:dyDescent="0.25">
      <c r="J716" s="436"/>
      <c r="K716" s="436"/>
    </row>
    <row r="717" spans="10:11" x14ac:dyDescent="0.25">
      <c r="J717" s="436"/>
      <c r="K717" s="436"/>
    </row>
    <row r="718" spans="10:11" x14ac:dyDescent="0.25">
      <c r="J718" s="436"/>
      <c r="K718" s="436"/>
    </row>
    <row r="719" spans="10:11" x14ac:dyDescent="0.25">
      <c r="J719" s="436"/>
      <c r="K719" s="436"/>
    </row>
    <row r="720" spans="10:11" x14ac:dyDescent="0.25">
      <c r="J720" s="436"/>
      <c r="K720" s="436"/>
    </row>
    <row r="721" spans="10:11" x14ac:dyDescent="0.25">
      <c r="J721" s="436"/>
      <c r="K721" s="436"/>
    </row>
    <row r="722" spans="10:11" x14ac:dyDescent="0.25">
      <c r="J722" s="436"/>
      <c r="K722" s="436"/>
    </row>
    <row r="723" spans="10:11" x14ac:dyDescent="0.25">
      <c r="J723" s="436"/>
      <c r="K723" s="436"/>
    </row>
    <row r="724" spans="10:11" x14ac:dyDescent="0.25">
      <c r="J724" s="436"/>
      <c r="K724" s="436"/>
    </row>
    <row r="725" spans="10:11" x14ac:dyDescent="0.25">
      <c r="J725" s="436"/>
      <c r="K725" s="436"/>
    </row>
    <row r="726" spans="10:11" x14ac:dyDescent="0.25">
      <c r="J726" s="436"/>
      <c r="K726" s="436"/>
    </row>
    <row r="727" spans="10:11" x14ac:dyDescent="0.25">
      <c r="J727" s="436"/>
      <c r="K727" s="436"/>
    </row>
    <row r="728" spans="10:11" x14ac:dyDescent="0.25">
      <c r="J728" s="436"/>
      <c r="K728" s="436"/>
    </row>
    <row r="729" spans="10:11" x14ac:dyDescent="0.25">
      <c r="J729" s="436"/>
      <c r="K729" s="436"/>
    </row>
    <row r="730" spans="10:11" x14ac:dyDescent="0.25">
      <c r="J730" s="436"/>
      <c r="K730" s="436"/>
    </row>
    <row r="731" spans="10:11" x14ac:dyDescent="0.25">
      <c r="J731" s="436"/>
      <c r="K731" s="436"/>
    </row>
    <row r="732" spans="10:11" x14ac:dyDescent="0.25">
      <c r="J732" s="436"/>
      <c r="K732" s="436"/>
    </row>
    <row r="733" spans="10:11" x14ac:dyDescent="0.25">
      <c r="J733" s="436"/>
      <c r="K733" s="436"/>
    </row>
    <row r="734" spans="10:11" x14ac:dyDescent="0.25">
      <c r="J734" s="436"/>
      <c r="K734" s="436"/>
    </row>
    <row r="735" spans="10:11" x14ac:dyDescent="0.25">
      <c r="J735" s="436"/>
      <c r="K735" s="436"/>
    </row>
    <row r="736" spans="10:11" x14ac:dyDescent="0.25">
      <c r="J736" s="436"/>
      <c r="K736" s="436"/>
    </row>
    <row r="737" spans="10:11" x14ac:dyDescent="0.25">
      <c r="J737" s="436"/>
      <c r="K737" s="436"/>
    </row>
    <row r="738" spans="10:11" x14ac:dyDescent="0.25">
      <c r="J738" s="436"/>
      <c r="K738" s="436"/>
    </row>
    <row r="739" spans="10:11" x14ac:dyDescent="0.25">
      <c r="J739" s="436"/>
      <c r="K739" s="436"/>
    </row>
    <row r="740" spans="10:11" x14ac:dyDescent="0.25">
      <c r="J740" s="436"/>
      <c r="K740" s="436"/>
    </row>
    <row r="741" spans="10:11" x14ac:dyDescent="0.25">
      <c r="J741" s="436"/>
      <c r="K741" s="436"/>
    </row>
    <row r="742" spans="10:11" x14ac:dyDescent="0.25">
      <c r="J742" s="436"/>
      <c r="K742" s="436"/>
    </row>
    <row r="743" spans="10:11" x14ac:dyDescent="0.25">
      <c r="J743" s="436"/>
      <c r="K743" s="436"/>
    </row>
    <row r="744" spans="10:11" x14ac:dyDescent="0.25">
      <c r="J744" s="436"/>
      <c r="K744" s="436"/>
    </row>
    <row r="745" spans="10:11" x14ac:dyDescent="0.25">
      <c r="J745" s="436"/>
      <c r="K745" s="436"/>
    </row>
    <row r="746" spans="10:11" x14ac:dyDescent="0.25">
      <c r="J746" s="436"/>
      <c r="K746" s="436"/>
    </row>
    <row r="747" spans="10:11" x14ac:dyDescent="0.25">
      <c r="J747" s="436"/>
      <c r="K747" s="436"/>
    </row>
    <row r="748" spans="10:11" x14ac:dyDescent="0.25">
      <c r="J748" s="436"/>
      <c r="K748" s="436"/>
    </row>
    <row r="749" spans="10:11" x14ac:dyDescent="0.25">
      <c r="J749" s="436"/>
      <c r="K749" s="436"/>
    </row>
    <row r="750" spans="10:11" x14ac:dyDescent="0.25">
      <c r="J750" s="436"/>
      <c r="K750" s="436"/>
    </row>
    <row r="751" spans="10:11" x14ac:dyDescent="0.25">
      <c r="J751" s="436"/>
      <c r="K751" s="436"/>
    </row>
    <row r="752" spans="10:11" x14ac:dyDescent="0.25">
      <c r="J752" s="436"/>
      <c r="K752" s="436"/>
    </row>
    <row r="753" spans="10:11" x14ac:dyDescent="0.25">
      <c r="J753" s="436"/>
      <c r="K753" s="436"/>
    </row>
    <row r="754" spans="10:11" x14ac:dyDescent="0.25">
      <c r="J754" s="436"/>
      <c r="K754" s="436"/>
    </row>
    <row r="755" spans="10:11" x14ac:dyDescent="0.25">
      <c r="J755" s="436"/>
      <c r="K755" s="436"/>
    </row>
    <row r="756" spans="10:11" x14ac:dyDescent="0.25">
      <c r="J756" s="436"/>
      <c r="K756" s="436"/>
    </row>
    <row r="757" spans="10:11" x14ac:dyDescent="0.25">
      <c r="J757" s="436"/>
      <c r="K757" s="436"/>
    </row>
    <row r="758" spans="10:11" x14ac:dyDescent="0.25">
      <c r="J758" s="436"/>
      <c r="K758" s="436"/>
    </row>
    <row r="759" spans="10:11" x14ac:dyDescent="0.25">
      <c r="J759" s="436"/>
      <c r="K759" s="436"/>
    </row>
    <row r="760" spans="10:11" x14ac:dyDescent="0.25">
      <c r="J760" s="436"/>
      <c r="K760" s="436"/>
    </row>
    <row r="761" spans="10:11" x14ac:dyDescent="0.25">
      <c r="J761" s="436"/>
      <c r="K761" s="436"/>
    </row>
    <row r="762" spans="10:11" x14ac:dyDescent="0.25">
      <c r="J762" s="436"/>
      <c r="K762" s="436"/>
    </row>
    <row r="763" spans="10:11" x14ac:dyDescent="0.25">
      <c r="J763" s="436"/>
      <c r="K763" s="436"/>
    </row>
    <row r="764" spans="10:11" x14ac:dyDescent="0.25">
      <c r="J764" s="436"/>
      <c r="K764" s="436"/>
    </row>
    <row r="765" spans="10:11" x14ac:dyDescent="0.25">
      <c r="J765" s="436"/>
      <c r="K765" s="436"/>
    </row>
    <row r="766" spans="10:11" x14ac:dyDescent="0.25">
      <c r="J766" s="436"/>
      <c r="K766" s="436"/>
    </row>
    <row r="767" spans="10:11" x14ac:dyDescent="0.25">
      <c r="J767" s="436"/>
      <c r="K767" s="436"/>
    </row>
    <row r="768" spans="10:11" x14ac:dyDescent="0.25">
      <c r="J768" s="436"/>
      <c r="K768" s="436"/>
    </row>
    <row r="769" spans="10:11" x14ac:dyDescent="0.25">
      <c r="J769" s="436"/>
      <c r="K769" s="436"/>
    </row>
    <row r="770" spans="10:11" x14ac:dyDescent="0.25">
      <c r="J770" s="436"/>
      <c r="K770" s="436"/>
    </row>
    <row r="771" spans="10:11" x14ac:dyDescent="0.25">
      <c r="J771" s="436"/>
      <c r="K771" s="436"/>
    </row>
    <row r="772" spans="10:11" x14ac:dyDescent="0.25">
      <c r="J772" s="436"/>
      <c r="K772" s="436"/>
    </row>
    <row r="773" spans="10:11" x14ac:dyDescent="0.25">
      <c r="J773" s="436"/>
      <c r="K773" s="436"/>
    </row>
    <row r="774" spans="10:11" x14ac:dyDescent="0.25">
      <c r="J774" s="436"/>
      <c r="K774" s="436"/>
    </row>
    <row r="775" spans="10:11" x14ac:dyDescent="0.25">
      <c r="J775" s="436"/>
      <c r="K775" s="436"/>
    </row>
    <row r="776" spans="10:11" x14ac:dyDescent="0.25">
      <c r="J776" s="436"/>
      <c r="K776" s="436"/>
    </row>
    <row r="777" spans="10:11" x14ac:dyDescent="0.25">
      <c r="J777" s="436"/>
      <c r="K777" s="436"/>
    </row>
    <row r="778" spans="10:11" x14ac:dyDescent="0.25">
      <c r="J778" s="436"/>
      <c r="K778" s="436"/>
    </row>
    <row r="779" spans="10:11" x14ac:dyDescent="0.25">
      <c r="J779" s="436"/>
      <c r="K779" s="436"/>
    </row>
    <row r="780" spans="10:11" x14ac:dyDescent="0.25">
      <c r="J780" s="436"/>
      <c r="K780" s="436"/>
    </row>
    <row r="781" spans="10:11" x14ac:dyDescent="0.25">
      <c r="J781" s="436"/>
      <c r="K781" s="436"/>
    </row>
    <row r="782" spans="10:11" x14ac:dyDescent="0.25">
      <c r="J782" s="436"/>
      <c r="K782" s="436"/>
    </row>
    <row r="783" spans="10:11" x14ac:dyDescent="0.25">
      <c r="J783" s="436"/>
      <c r="K783" s="436"/>
    </row>
    <row r="784" spans="10:11" x14ac:dyDescent="0.25">
      <c r="J784" s="436"/>
      <c r="K784" s="436"/>
    </row>
    <row r="785" spans="10:11" x14ac:dyDescent="0.25">
      <c r="J785" s="436"/>
      <c r="K785" s="436"/>
    </row>
    <row r="786" spans="10:11" x14ac:dyDescent="0.25">
      <c r="J786" s="436"/>
      <c r="K786" s="436"/>
    </row>
    <row r="787" spans="10:11" x14ac:dyDescent="0.25">
      <c r="J787" s="436"/>
      <c r="K787" s="436"/>
    </row>
    <row r="788" spans="10:11" x14ac:dyDescent="0.25">
      <c r="J788" s="436"/>
      <c r="K788" s="436"/>
    </row>
    <row r="789" spans="10:11" x14ac:dyDescent="0.25">
      <c r="J789" s="436"/>
      <c r="K789" s="436"/>
    </row>
    <row r="790" spans="10:11" x14ac:dyDescent="0.25">
      <c r="J790" s="436"/>
      <c r="K790" s="436"/>
    </row>
    <row r="791" spans="10:11" x14ac:dyDescent="0.25">
      <c r="J791" s="436"/>
      <c r="K791" s="436"/>
    </row>
    <row r="792" spans="10:11" x14ac:dyDescent="0.25">
      <c r="J792" s="436"/>
      <c r="K792" s="436"/>
    </row>
    <row r="793" spans="10:11" x14ac:dyDescent="0.25">
      <c r="J793" s="436"/>
      <c r="K793" s="436"/>
    </row>
    <row r="794" spans="10:11" x14ac:dyDescent="0.25">
      <c r="J794" s="436"/>
      <c r="K794" s="436"/>
    </row>
    <row r="795" spans="10:11" x14ac:dyDescent="0.25">
      <c r="J795" s="436"/>
      <c r="K795" s="436"/>
    </row>
    <row r="796" spans="10:11" x14ac:dyDescent="0.25">
      <c r="J796" s="436"/>
      <c r="K796" s="436"/>
    </row>
    <row r="797" spans="10:11" x14ac:dyDescent="0.25">
      <c r="J797" s="436"/>
      <c r="K797" s="436"/>
    </row>
    <row r="798" spans="10:11" x14ac:dyDescent="0.25">
      <c r="J798" s="436"/>
      <c r="K798" s="436"/>
    </row>
    <row r="799" spans="10:11" x14ac:dyDescent="0.25">
      <c r="J799" s="436"/>
      <c r="K799" s="436"/>
    </row>
    <row r="800" spans="10:11" x14ac:dyDescent="0.25">
      <c r="J800" s="436"/>
      <c r="K800" s="436"/>
    </row>
    <row r="801" spans="10:11" x14ac:dyDescent="0.25">
      <c r="J801" s="436"/>
      <c r="K801" s="436"/>
    </row>
    <row r="802" spans="10:11" x14ac:dyDescent="0.25">
      <c r="J802" s="436"/>
      <c r="K802" s="436"/>
    </row>
    <row r="803" spans="10:11" x14ac:dyDescent="0.25">
      <c r="J803" s="436"/>
      <c r="K803" s="436"/>
    </row>
    <row r="804" spans="10:11" x14ac:dyDescent="0.25">
      <c r="J804" s="436"/>
      <c r="K804" s="436"/>
    </row>
    <row r="805" spans="10:11" x14ac:dyDescent="0.25">
      <c r="J805" s="436"/>
      <c r="K805" s="436"/>
    </row>
    <row r="806" spans="10:11" x14ac:dyDescent="0.25">
      <c r="J806" s="436"/>
      <c r="K806" s="436"/>
    </row>
    <row r="807" spans="10:11" x14ac:dyDescent="0.25">
      <c r="J807" s="436"/>
      <c r="K807" s="436"/>
    </row>
    <row r="808" spans="10:11" x14ac:dyDescent="0.25">
      <c r="J808" s="436"/>
      <c r="K808" s="436"/>
    </row>
    <row r="809" spans="10:11" x14ac:dyDescent="0.25">
      <c r="J809" s="436"/>
      <c r="K809" s="436"/>
    </row>
    <row r="810" spans="10:11" x14ac:dyDescent="0.25">
      <c r="J810" s="436"/>
      <c r="K810" s="436"/>
    </row>
    <row r="811" spans="10:11" x14ac:dyDescent="0.25">
      <c r="J811" s="436"/>
      <c r="K811" s="436"/>
    </row>
    <row r="812" spans="10:11" x14ac:dyDescent="0.25">
      <c r="J812" s="436"/>
      <c r="K812" s="436"/>
    </row>
    <row r="813" spans="10:11" x14ac:dyDescent="0.25">
      <c r="J813" s="436"/>
      <c r="K813" s="436"/>
    </row>
    <row r="814" spans="10:11" x14ac:dyDescent="0.25">
      <c r="J814" s="436"/>
      <c r="K814" s="436"/>
    </row>
    <row r="815" spans="10:11" x14ac:dyDescent="0.25">
      <c r="J815" s="436"/>
      <c r="K815" s="436"/>
    </row>
    <row r="816" spans="10:11" x14ac:dyDescent="0.25">
      <c r="J816" s="436"/>
      <c r="K816" s="436"/>
    </row>
    <row r="817" spans="10:11" x14ac:dyDescent="0.25">
      <c r="J817" s="436"/>
      <c r="K817" s="436"/>
    </row>
    <row r="818" spans="10:11" x14ac:dyDescent="0.25">
      <c r="J818" s="436"/>
      <c r="K818" s="436"/>
    </row>
    <row r="819" spans="10:11" x14ac:dyDescent="0.25">
      <c r="J819" s="436"/>
      <c r="K819" s="436"/>
    </row>
    <row r="820" spans="10:11" x14ac:dyDescent="0.25">
      <c r="J820" s="436"/>
      <c r="K820" s="436"/>
    </row>
    <row r="821" spans="10:11" x14ac:dyDescent="0.25">
      <c r="J821" s="436"/>
      <c r="K821" s="436"/>
    </row>
    <row r="822" spans="10:11" x14ac:dyDescent="0.25">
      <c r="J822" s="436"/>
      <c r="K822" s="436"/>
    </row>
    <row r="823" spans="10:11" x14ac:dyDescent="0.25">
      <c r="J823" s="436"/>
      <c r="K823" s="436"/>
    </row>
    <row r="824" spans="10:11" x14ac:dyDescent="0.25">
      <c r="J824" s="436"/>
      <c r="K824" s="436"/>
    </row>
    <row r="825" spans="10:11" x14ac:dyDescent="0.25">
      <c r="J825" s="436"/>
      <c r="K825" s="436"/>
    </row>
    <row r="826" spans="10:11" x14ac:dyDescent="0.25">
      <c r="J826" s="436"/>
      <c r="K826" s="436"/>
    </row>
    <row r="827" spans="10:11" x14ac:dyDescent="0.25">
      <c r="J827" s="436"/>
      <c r="K827" s="436"/>
    </row>
    <row r="828" spans="10:11" x14ac:dyDescent="0.25">
      <c r="J828" s="436"/>
      <c r="K828" s="436"/>
    </row>
    <row r="829" spans="10:11" x14ac:dyDescent="0.25">
      <c r="J829" s="436"/>
      <c r="K829" s="436"/>
    </row>
    <row r="830" spans="10:11" x14ac:dyDescent="0.25">
      <c r="J830" s="436"/>
      <c r="K830" s="436"/>
    </row>
    <row r="831" spans="10:11" x14ac:dyDescent="0.25">
      <c r="J831" s="436"/>
      <c r="K831" s="436"/>
    </row>
    <row r="832" spans="10:11" x14ac:dyDescent="0.25">
      <c r="J832" s="436"/>
      <c r="K832" s="436"/>
    </row>
    <row r="833" spans="10:11" x14ac:dyDescent="0.25">
      <c r="J833" s="436"/>
      <c r="K833" s="436"/>
    </row>
    <row r="834" spans="10:11" x14ac:dyDescent="0.25">
      <c r="J834" s="436"/>
      <c r="K834" s="436"/>
    </row>
    <row r="835" spans="10:11" x14ac:dyDescent="0.25">
      <c r="J835" s="436"/>
      <c r="K835" s="436"/>
    </row>
    <row r="836" spans="10:11" x14ac:dyDescent="0.25">
      <c r="J836" s="436"/>
      <c r="K836" s="436"/>
    </row>
    <row r="837" spans="10:11" x14ac:dyDescent="0.25">
      <c r="J837" s="436"/>
      <c r="K837" s="436"/>
    </row>
    <row r="838" spans="10:11" x14ac:dyDescent="0.25">
      <c r="J838" s="436"/>
      <c r="K838" s="436"/>
    </row>
    <row r="839" spans="10:11" x14ac:dyDescent="0.25">
      <c r="J839" s="436"/>
      <c r="K839" s="436"/>
    </row>
    <row r="840" spans="10:11" x14ac:dyDescent="0.25">
      <c r="J840" s="436"/>
      <c r="K840" s="436"/>
    </row>
    <row r="841" spans="10:11" x14ac:dyDescent="0.25">
      <c r="J841" s="436"/>
      <c r="K841" s="436"/>
    </row>
    <row r="842" spans="10:11" x14ac:dyDescent="0.25">
      <c r="J842" s="436"/>
      <c r="K842" s="436"/>
    </row>
    <row r="843" spans="10:11" x14ac:dyDescent="0.25">
      <c r="J843" s="436"/>
      <c r="K843" s="436"/>
    </row>
    <row r="844" spans="10:11" x14ac:dyDescent="0.25">
      <c r="J844" s="436"/>
      <c r="K844" s="436"/>
    </row>
    <row r="845" spans="10:11" x14ac:dyDescent="0.25">
      <c r="J845" s="436"/>
      <c r="K845" s="436"/>
    </row>
    <row r="846" spans="10:11" x14ac:dyDescent="0.25">
      <c r="J846" s="436"/>
      <c r="K846" s="436"/>
    </row>
    <row r="847" spans="10:11" x14ac:dyDescent="0.25">
      <c r="J847" s="436"/>
      <c r="K847" s="436"/>
    </row>
    <row r="848" spans="10:11" x14ac:dyDescent="0.25">
      <c r="J848" s="436"/>
      <c r="K848" s="436"/>
    </row>
    <row r="849" spans="10:11" x14ac:dyDescent="0.25">
      <c r="J849" s="436"/>
      <c r="K849" s="436"/>
    </row>
    <row r="850" spans="10:11" x14ac:dyDescent="0.25">
      <c r="J850" s="436"/>
      <c r="K850" s="436"/>
    </row>
    <row r="851" spans="10:11" x14ac:dyDescent="0.25">
      <c r="J851" s="436"/>
      <c r="K851" s="436"/>
    </row>
    <row r="852" spans="10:11" x14ac:dyDescent="0.25">
      <c r="J852" s="436"/>
      <c r="K852" s="436"/>
    </row>
    <row r="853" spans="10:11" x14ac:dyDescent="0.25">
      <c r="J853" s="436"/>
      <c r="K853" s="436"/>
    </row>
    <row r="854" spans="10:11" x14ac:dyDescent="0.25">
      <c r="J854" s="436"/>
      <c r="K854" s="436"/>
    </row>
    <row r="855" spans="10:11" x14ac:dyDescent="0.25">
      <c r="J855" s="436"/>
      <c r="K855" s="436"/>
    </row>
    <row r="856" spans="10:11" x14ac:dyDescent="0.25">
      <c r="J856" s="436"/>
      <c r="K856" s="436"/>
    </row>
    <row r="857" spans="10:11" x14ac:dyDescent="0.25">
      <c r="J857" s="436"/>
      <c r="K857" s="436"/>
    </row>
    <row r="858" spans="10:11" x14ac:dyDescent="0.25">
      <c r="J858" s="436"/>
      <c r="K858" s="436"/>
    </row>
    <row r="859" spans="10:11" x14ac:dyDescent="0.25">
      <c r="J859" s="436"/>
      <c r="K859" s="436"/>
    </row>
    <row r="860" spans="10:11" x14ac:dyDescent="0.25">
      <c r="J860" s="436"/>
      <c r="K860" s="436"/>
    </row>
    <row r="861" spans="10:11" x14ac:dyDescent="0.25">
      <c r="J861" s="436"/>
      <c r="K861" s="436"/>
    </row>
    <row r="862" spans="10:11" x14ac:dyDescent="0.25">
      <c r="J862" s="436"/>
      <c r="K862" s="436"/>
    </row>
    <row r="863" spans="10:11" x14ac:dyDescent="0.25">
      <c r="J863" s="436"/>
      <c r="K863" s="436"/>
    </row>
    <row r="864" spans="10:11" x14ac:dyDescent="0.25">
      <c r="J864" s="436"/>
      <c r="K864" s="436"/>
    </row>
    <row r="865" spans="10:11" x14ac:dyDescent="0.25">
      <c r="J865" s="436"/>
      <c r="K865" s="436"/>
    </row>
    <row r="866" spans="10:11" x14ac:dyDescent="0.25">
      <c r="J866" s="436"/>
      <c r="K866" s="436"/>
    </row>
    <row r="867" spans="10:11" x14ac:dyDescent="0.25">
      <c r="J867" s="436"/>
      <c r="K867" s="436"/>
    </row>
    <row r="868" spans="10:11" x14ac:dyDescent="0.25">
      <c r="J868" s="436"/>
      <c r="K868" s="436"/>
    </row>
    <row r="869" spans="10:11" x14ac:dyDescent="0.25">
      <c r="J869" s="436"/>
      <c r="K869" s="436"/>
    </row>
    <row r="870" spans="10:11" x14ac:dyDescent="0.25">
      <c r="J870" s="436"/>
      <c r="K870" s="436"/>
    </row>
    <row r="871" spans="10:11" x14ac:dyDescent="0.25">
      <c r="J871" s="436"/>
      <c r="K871" s="436"/>
    </row>
    <row r="872" spans="10:11" x14ac:dyDescent="0.25">
      <c r="J872" s="436"/>
      <c r="K872" s="436"/>
    </row>
    <row r="873" spans="10:11" x14ac:dyDescent="0.25">
      <c r="J873" s="436"/>
      <c r="K873" s="436"/>
    </row>
    <row r="874" spans="10:11" x14ac:dyDescent="0.25">
      <c r="J874" s="436"/>
      <c r="K874" s="436"/>
    </row>
    <row r="875" spans="10:11" x14ac:dyDescent="0.25">
      <c r="J875" s="436"/>
      <c r="K875" s="436"/>
    </row>
    <row r="876" spans="10:11" x14ac:dyDescent="0.25">
      <c r="J876" s="436"/>
      <c r="K876" s="436"/>
    </row>
    <row r="877" spans="10:11" x14ac:dyDescent="0.25">
      <c r="J877" s="436"/>
      <c r="K877" s="436"/>
    </row>
    <row r="878" spans="10:11" x14ac:dyDescent="0.25">
      <c r="J878" s="436"/>
      <c r="K878" s="436"/>
    </row>
    <row r="879" spans="10:11" x14ac:dyDescent="0.25">
      <c r="J879" s="436"/>
      <c r="K879" s="436"/>
    </row>
    <row r="880" spans="10:11" x14ac:dyDescent="0.25">
      <c r="J880" s="436"/>
      <c r="K880" s="436"/>
    </row>
    <row r="881" spans="10:11" x14ac:dyDescent="0.25">
      <c r="J881" s="436"/>
      <c r="K881" s="436"/>
    </row>
    <row r="882" spans="10:11" x14ac:dyDescent="0.25">
      <c r="J882" s="436"/>
      <c r="K882" s="436"/>
    </row>
    <row r="883" spans="10:11" x14ac:dyDescent="0.25">
      <c r="J883" s="436"/>
      <c r="K883" s="436"/>
    </row>
    <row r="884" spans="10:11" x14ac:dyDescent="0.25">
      <c r="J884" s="436"/>
      <c r="K884" s="436"/>
    </row>
    <row r="885" spans="10:11" x14ac:dyDescent="0.25">
      <c r="J885" s="436"/>
      <c r="K885" s="436"/>
    </row>
    <row r="886" spans="10:11" x14ac:dyDescent="0.25">
      <c r="J886" s="436"/>
      <c r="K886" s="436"/>
    </row>
    <row r="887" spans="10:11" x14ac:dyDescent="0.25">
      <c r="J887" s="436"/>
      <c r="K887" s="436"/>
    </row>
    <row r="888" spans="10:11" x14ac:dyDescent="0.25">
      <c r="J888" s="436"/>
      <c r="K888" s="436"/>
    </row>
    <row r="889" spans="10:11" x14ac:dyDescent="0.25">
      <c r="J889" s="436"/>
      <c r="K889" s="436"/>
    </row>
    <row r="890" spans="10:11" x14ac:dyDescent="0.25">
      <c r="J890" s="436"/>
      <c r="K890" s="436"/>
    </row>
    <row r="891" spans="10:11" x14ac:dyDescent="0.25">
      <c r="J891" s="436"/>
      <c r="K891" s="436"/>
    </row>
    <row r="892" spans="10:11" x14ac:dyDescent="0.25">
      <c r="J892" s="436"/>
      <c r="K892" s="436"/>
    </row>
    <row r="893" spans="10:11" x14ac:dyDescent="0.25">
      <c r="J893" s="436"/>
      <c r="K893" s="436"/>
    </row>
    <row r="894" spans="10:11" x14ac:dyDescent="0.25">
      <c r="J894" s="436"/>
      <c r="K894" s="436"/>
    </row>
    <row r="895" spans="10:11" x14ac:dyDescent="0.25">
      <c r="J895" s="436"/>
      <c r="K895" s="436"/>
    </row>
    <row r="896" spans="10:11" x14ac:dyDescent="0.25">
      <c r="J896" s="436"/>
      <c r="K896" s="436"/>
    </row>
    <row r="897" spans="10:11" x14ac:dyDescent="0.25">
      <c r="J897" s="436"/>
      <c r="K897" s="436"/>
    </row>
    <row r="898" spans="10:11" x14ac:dyDescent="0.25">
      <c r="J898" s="436"/>
      <c r="K898" s="436"/>
    </row>
    <row r="899" spans="10:11" x14ac:dyDescent="0.25">
      <c r="J899" s="436"/>
      <c r="K899" s="436"/>
    </row>
    <row r="900" spans="10:11" x14ac:dyDescent="0.25">
      <c r="J900" s="436"/>
      <c r="K900" s="436"/>
    </row>
    <row r="901" spans="10:11" x14ac:dyDescent="0.25">
      <c r="J901" s="436"/>
      <c r="K901" s="436"/>
    </row>
    <row r="902" spans="10:11" x14ac:dyDescent="0.25">
      <c r="J902" s="436"/>
      <c r="K902" s="436"/>
    </row>
    <row r="903" spans="10:11" x14ac:dyDescent="0.25">
      <c r="J903" s="436"/>
      <c r="K903" s="436"/>
    </row>
    <row r="904" spans="10:11" x14ac:dyDescent="0.25">
      <c r="J904" s="436"/>
      <c r="K904" s="436"/>
    </row>
    <row r="905" spans="10:11" x14ac:dyDescent="0.25">
      <c r="J905" s="436"/>
      <c r="K905" s="436"/>
    </row>
    <row r="906" spans="10:11" x14ac:dyDescent="0.25">
      <c r="J906" s="436"/>
      <c r="K906" s="436"/>
    </row>
    <row r="907" spans="10:11" x14ac:dyDescent="0.25">
      <c r="J907" s="436"/>
      <c r="K907" s="436"/>
    </row>
    <row r="908" spans="10:11" x14ac:dyDescent="0.25">
      <c r="J908" s="436"/>
      <c r="K908" s="436"/>
    </row>
    <row r="909" spans="10:11" x14ac:dyDescent="0.25">
      <c r="J909" s="436"/>
      <c r="K909" s="436"/>
    </row>
    <row r="910" spans="10:11" x14ac:dyDescent="0.25">
      <c r="J910" s="436"/>
      <c r="K910" s="436"/>
    </row>
    <row r="911" spans="10:11" x14ac:dyDescent="0.25">
      <c r="J911" s="436"/>
      <c r="K911" s="436"/>
    </row>
    <row r="912" spans="10:11" x14ac:dyDescent="0.25">
      <c r="J912" s="436"/>
      <c r="K912" s="436"/>
    </row>
    <row r="913" spans="10:11" x14ac:dyDescent="0.25">
      <c r="J913" s="436"/>
      <c r="K913" s="436"/>
    </row>
    <row r="914" spans="10:11" x14ac:dyDescent="0.25">
      <c r="J914" s="436"/>
      <c r="K914" s="436"/>
    </row>
    <row r="915" spans="10:11" x14ac:dyDescent="0.25">
      <c r="J915" s="436"/>
      <c r="K915" s="436"/>
    </row>
    <row r="916" spans="10:11" x14ac:dyDescent="0.25">
      <c r="J916" s="436"/>
      <c r="K916" s="436"/>
    </row>
    <row r="917" spans="10:11" x14ac:dyDescent="0.25">
      <c r="J917" s="436"/>
      <c r="K917" s="436"/>
    </row>
    <row r="918" spans="10:11" x14ac:dyDescent="0.25">
      <c r="J918" s="436"/>
      <c r="K918" s="436"/>
    </row>
    <row r="919" spans="10:11" x14ac:dyDescent="0.25">
      <c r="J919" s="436"/>
      <c r="K919" s="436"/>
    </row>
    <row r="920" spans="10:11" x14ac:dyDescent="0.25">
      <c r="J920" s="436"/>
      <c r="K920" s="436"/>
    </row>
    <row r="921" spans="10:11" x14ac:dyDescent="0.25">
      <c r="J921" s="436"/>
      <c r="K921" s="436"/>
    </row>
    <row r="922" spans="10:11" x14ac:dyDescent="0.25">
      <c r="J922" s="436"/>
      <c r="K922" s="436"/>
    </row>
    <row r="923" spans="10:11" x14ac:dyDescent="0.25">
      <c r="J923" s="436"/>
      <c r="K923" s="436"/>
    </row>
    <row r="924" spans="10:11" x14ac:dyDescent="0.25">
      <c r="J924" s="436"/>
      <c r="K924" s="436"/>
    </row>
    <row r="925" spans="10:11" x14ac:dyDescent="0.25">
      <c r="J925" s="436"/>
      <c r="K925" s="436"/>
    </row>
    <row r="926" spans="10:11" x14ac:dyDescent="0.25">
      <c r="J926" s="436"/>
      <c r="K926" s="436"/>
    </row>
    <row r="927" spans="10:11" x14ac:dyDescent="0.25">
      <c r="J927" s="436"/>
      <c r="K927" s="436"/>
    </row>
    <row r="928" spans="10:11" x14ac:dyDescent="0.25">
      <c r="J928" s="436"/>
      <c r="K928" s="436"/>
    </row>
    <row r="929" spans="10:11" x14ac:dyDescent="0.25">
      <c r="J929" s="436"/>
      <c r="K929" s="436"/>
    </row>
    <row r="930" spans="10:11" x14ac:dyDescent="0.25">
      <c r="J930" s="436"/>
      <c r="K930" s="436"/>
    </row>
    <row r="931" spans="10:11" x14ac:dyDescent="0.25">
      <c r="J931" s="436"/>
      <c r="K931" s="436"/>
    </row>
    <row r="932" spans="10:11" x14ac:dyDescent="0.25">
      <c r="J932" s="436"/>
      <c r="K932" s="436"/>
    </row>
    <row r="933" spans="10:11" x14ac:dyDescent="0.25">
      <c r="J933" s="436"/>
      <c r="K933" s="436"/>
    </row>
    <row r="934" spans="10:11" x14ac:dyDescent="0.25">
      <c r="J934" s="436"/>
      <c r="K934" s="436"/>
    </row>
    <row r="935" spans="10:11" x14ac:dyDescent="0.25">
      <c r="J935" s="436"/>
      <c r="K935" s="436"/>
    </row>
    <row r="936" spans="10:11" x14ac:dyDescent="0.25">
      <c r="J936" s="436"/>
      <c r="K936" s="436"/>
    </row>
    <row r="937" spans="10:11" x14ac:dyDescent="0.25">
      <c r="J937" s="436"/>
      <c r="K937" s="436"/>
    </row>
    <row r="938" spans="10:11" x14ac:dyDescent="0.25">
      <c r="J938" s="436"/>
      <c r="K938" s="436"/>
    </row>
    <row r="939" spans="10:11" x14ac:dyDescent="0.25">
      <c r="J939" s="436"/>
      <c r="K939" s="436"/>
    </row>
    <row r="940" spans="10:11" x14ac:dyDescent="0.25">
      <c r="J940" s="436"/>
      <c r="K940" s="436"/>
    </row>
    <row r="941" spans="10:11" x14ac:dyDescent="0.25">
      <c r="J941" s="436"/>
      <c r="K941" s="436"/>
    </row>
    <row r="942" spans="10:11" x14ac:dyDescent="0.25">
      <c r="J942" s="436"/>
      <c r="K942" s="436"/>
    </row>
    <row r="943" spans="10:11" x14ac:dyDescent="0.25">
      <c r="J943" s="436"/>
      <c r="K943" s="436"/>
    </row>
    <row r="944" spans="10:11" x14ac:dyDescent="0.25">
      <c r="J944" s="436"/>
      <c r="K944" s="436"/>
    </row>
    <row r="945" spans="10:11" x14ac:dyDescent="0.25">
      <c r="J945" s="436"/>
      <c r="K945" s="436"/>
    </row>
    <row r="946" spans="10:11" x14ac:dyDescent="0.25">
      <c r="J946" s="436"/>
      <c r="K946" s="436"/>
    </row>
    <row r="947" spans="10:11" x14ac:dyDescent="0.25">
      <c r="J947" s="436"/>
      <c r="K947" s="436"/>
    </row>
    <row r="948" spans="10:11" x14ac:dyDescent="0.25">
      <c r="J948" s="436"/>
      <c r="K948" s="436"/>
    </row>
    <row r="949" spans="10:11" x14ac:dyDescent="0.25">
      <c r="J949" s="436"/>
      <c r="K949" s="436"/>
    </row>
    <row r="950" spans="10:11" x14ac:dyDescent="0.25">
      <c r="J950" s="436"/>
      <c r="K950" s="436"/>
    </row>
    <row r="951" spans="10:11" x14ac:dyDescent="0.25">
      <c r="J951" s="436"/>
      <c r="K951" s="436"/>
    </row>
    <row r="952" spans="10:11" x14ac:dyDescent="0.25">
      <c r="J952" s="436"/>
      <c r="K952" s="436"/>
    </row>
    <row r="953" spans="10:11" x14ac:dyDescent="0.25">
      <c r="J953" s="436"/>
      <c r="K953" s="436"/>
    </row>
    <row r="954" spans="10:11" x14ac:dyDescent="0.25">
      <c r="J954" s="436"/>
      <c r="K954" s="436"/>
    </row>
    <row r="955" spans="10:11" x14ac:dyDescent="0.25">
      <c r="J955" s="436"/>
      <c r="K955" s="436"/>
    </row>
    <row r="956" spans="10:11" x14ac:dyDescent="0.25">
      <c r="J956" s="436"/>
      <c r="K956" s="436"/>
    </row>
    <row r="957" spans="10:11" x14ac:dyDescent="0.25">
      <c r="J957" s="436"/>
      <c r="K957" s="436"/>
    </row>
    <row r="958" spans="10:11" x14ac:dyDescent="0.25">
      <c r="J958" s="436"/>
      <c r="K958" s="436"/>
    </row>
    <row r="959" spans="10:11" x14ac:dyDescent="0.25">
      <c r="J959" s="436"/>
      <c r="K959" s="436"/>
    </row>
    <row r="960" spans="10:11" x14ac:dyDescent="0.25">
      <c r="J960" s="436"/>
      <c r="K960" s="436"/>
    </row>
    <row r="961" spans="10:11" x14ac:dyDescent="0.25">
      <c r="J961" s="436"/>
      <c r="K961" s="436"/>
    </row>
    <row r="962" spans="10:11" x14ac:dyDescent="0.25">
      <c r="J962" s="436"/>
      <c r="K962" s="436"/>
    </row>
    <row r="963" spans="10:11" x14ac:dyDescent="0.25">
      <c r="J963" s="436"/>
      <c r="K963" s="436"/>
    </row>
    <row r="964" spans="10:11" x14ac:dyDescent="0.25">
      <c r="J964" s="436"/>
      <c r="K964" s="436"/>
    </row>
    <row r="965" spans="10:11" x14ac:dyDescent="0.25">
      <c r="J965" s="436"/>
      <c r="K965" s="436"/>
    </row>
    <row r="966" spans="10:11" x14ac:dyDescent="0.25">
      <c r="J966" s="436"/>
      <c r="K966" s="436"/>
    </row>
    <row r="967" spans="10:11" x14ac:dyDescent="0.25">
      <c r="J967" s="436"/>
      <c r="K967" s="436"/>
    </row>
    <row r="968" spans="10:11" x14ac:dyDescent="0.25">
      <c r="J968" s="436"/>
      <c r="K968" s="436"/>
    </row>
    <row r="969" spans="10:11" x14ac:dyDescent="0.25">
      <c r="J969" s="436"/>
      <c r="K969" s="436"/>
    </row>
    <row r="970" spans="10:11" x14ac:dyDescent="0.25">
      <c r="J970" s="436"/>
      <c r="K970" s="436"/>
    </row>
    <row r="971" spans="10:11" x14ac:dyDescent="0.25">
      <c r="J971" s="436"/>
      <c r="K971" s="436"/>
    </row>
    <row r="972" spans="10:11" x14ac:dyDescent="0.25">
      <c r="J972" s="436"/>
      <c r="K972" s="436"/>
    </row>
    <row r="973" spans="10:11" x14ac:dyDescent="0.25">
      <c r="J973" s="436"/>
      <c r="K973" s="436"/>
    </row>
    <row r="974" spans="10:11" x14ac:dyDescent="0.25">
      <c r="J974" s="436"/>
      <c r="K974" s="436"/>
    </row>
    <row r="975" spans="10:11" x14ac:dyDescent="0.25">
      <c r="J975" s="436"/>
      <c r="K975" s="436"/>
    </row>
    <row r="976" spans="10:11" x14ac:dyDescent="0.25">
      <c r="J976" s="436"/>
      <c r="K976" s="436"/>
    </row>
    <row r="977" spans="10:11" x14ac:dyDescent="0.25">
      <c r="J977" s="436"/>
      <c r="K977" s="436"/>
    </row>
    <row r="978" spans="10:11" x14ac:dyDescent="0.25">
      <c r="J978" s="436"/>
      <c r="K978" s="436"/>
    </row>
    <row r="979" spans="10:11" x14ac:dyDescent="0.25">
      <c r="J979" s="436"/>
      <c r="K979" s="436"/>
    </row>
    <row r="980" spans="10:11" x14ac:dyDescent="0.25">
      <c r="J980" s="436"/>
      <c r="K980" s="436"/>
    </row>
    <row r="981" spans="10:11" x14ac:dyDescent="0.25">
      <c r="J981" s="436"/>
      <c r="K981" s="436"/>
    </row>
    <row r="982" spans="10:11" x14ac:dyDescent="0.25">
      <c r="J982" s="436"/>
      <c r="K982" s="436"/>
    </row>
    <row r="983" spans="10:11" x14ac:dyDescent="0.25">
      <c r="J983" s="436"/>
      <c r="K983" s="436"/>
    </row>
    <row r="984" spans="10:11" x14ac:dyDescent="0.25">
      <c r="J984" s="436"/>
      <c r="K984" s="436"/>
    </row>
    <row r="985" spans="10:11" x14ac:dyDescent="0.25">
      <c r="J985" s="436"/>
      <c r="K985" s="436"/>
    </row>
    <row r="986" spans="10:11" x14ac:dyDescent="0.25">
      <c r="J986" s="436"/>
      <c r="K986" s="436"/>
    </row>
    <row r="987" spans="10:11" x14ac:dyDescent="0.25">
      <c r="J987" s="436"/>
      <c r="K987" s="436"/>
    </row>
    <row r="988" spans="10:11" x14ac:dyDescent="0.25">
      <c r="J988" s="436"/>
      <c r="K988" s="436"/>
    </row>
    <row r="989" spans="10:11" x14ac:dyDescent="0.25">
      <c r="J989" s="436"/>
      <c r="K989" s="436"/>
    </row>
    <row r="990" spans="10:11" x14ac:dyDescent="0.25">
      <c r="J990" s="436"/>
      <c r="K990" s="436"/>
    </row>
    <row r="991" spans="10:11" x14ac:dyDescent="0.25">
      <c r="J991" s="436"/>
      <c r="K991" s="436"/>
    </row>
    <row r="992" spans="10:11" x14ac:dyDescent="0.25">
      <c r="J992" s="436"/>
      <c r="K992" s="436"/>
    </row>
    <row r="993" spans="10:11" x14ac:dyDescent="0.25">
      <c r="J993" s="436"/>
      <c r="K993" s="436"/>
    </row>
    <row r="994" spans="10:11" x14ac:dyDescent="0.25">
      <c r="J994" s="436"/>
      <c r="K994" s="436"/>
    </row>
    <row r="995" spans="10:11" x14ac:dyDescent="0.25">
      <c r="J995" s="436"/>
      <c r="K995" s="436"/>
    </row>
    <row r="996" spans="10:11" x14ac:dyDescent="0.25">
      <c r="J996" s="436"/>
      <c r="K996" s="436"/>
    </row>
    <row r="997" spans="10:11" x14ac:dyDescent="0.25">
      <c r="J997" s="436"/>
      <c r="K997" s="436"/>
    </row>
    <row r="998" spans="10:11" x14ac:dyDescent="0.25">
      <c r="J998" s="436"/>
      <c r="K998" s="436"/>
    </row>
    <row r="999" spans="10:11" x14ac:dyDescent="0.25">
      <c r="J999" s="436"/>
      <c r="K999" s="436"/>
    </row>
    <row r="1000" spans="10:11" x14ac:dyDescent="0.25">
      <c r="J1000" s="436"/>
      <c r="K1000" s="436"/>
    </row>
    <row r="1001" spans="10:11" x14ac:dyDescent="0.25">
      <c r="J1001" s="436"/>
      <c r="K1001" s="436"/>
    </row>
    <row r="1002" spans="10:11" x14ac:dyDescent="0.25">
      <c r="J1002" s="436"/>
      <c r="K1002" s="436"/>
    </row>
    <row r="1003" spans="10:11" x14ac:dyDescent="0.25">
      <c r="J1003" s="436"/>
      <c r="K1003" s="436"/>
    </row>
    <row r="1004" spans="10:11" x14ac:dyDescent="0.25">
      <c r="J1004" s="436"/>
      <c r="K1004" s="436"/>
    </row>
    <row r="1005" spans="10:11" x14ac:dyDescent="0.25">
      <c r="J1005" s="436"/>
      <c r="K1005" s="436"/>
    </row>
    <row r="1006" spans="10:11" x14ac:dyDescent="0.25">
      <c r="J1006" s="436"/>
      <c r="K1006" s="436"/>
    </row>
    <row r="1007" spans="10:11" x14ac:dyDescent="0.25">
      <c r="J1007" s="436"/>
      <c r="K1007" s="436"/>
    </row>
    <row r="1008" spans="10:11" x14ac:dyDescent="0.25">
      <c r="J1008" s="436"/>
      <c r="K1008" s="436"/>
    </row>
    <row r="1009" spans="10:11" x14ac:dyDescent="0.25">
      <c r="J1009" s="436"/>
      <c r="K1009" s="436"/>
    </row>
    <row r="1010" spans="10:11" x14ac:dyDescent="0.25">
      <c r="J1010" s="436"/>
      <c r="K1010" s="436"/>
    </row>
    <row r="1011" spans="10:11" x14ac:dyDescent="0.25">
      <c r="J1011" s="436"/>
      <c r="K1011" s="436"/>
    </row>
    <row r="1012" spans="10:11" x14ac:dyDescent="0.25">
      <c r="J1012" s="436"/>
      <c r="K1012" s="436"/>
    </row>
    <row r="1013" spans="10:11" x14ac:dyDescent="0.25">
      <c r="J1013" s="436"/>
      <c r="K1013" s="436"/>
    </row>
    <row r="1014" spans="10:11" x14ac:dyDescent="0.25">
      <c r="J1014" s="436"/>
      <c r="K1014" s="436"/>
    </row>
    <row r="1015" spans="10:11" x14ac:dyDescent="0.25">
      <c r="J1015" s="436"/>
      <c r="K1015" s="436"/>
    </row>
    <row r="1016" spans="10:11" x14ac:dyDescent="0.25">
      <c r="J1016" s="436"/>
      <c r="K1016" s="436"/>
    </row>
    <row r="1017" spans="10:11" x14ac:dyDescent="0.25">
      <c r="J1017" s="436"/>
      <c r="K1017" s="436"/>
    </row>
    <row r="1018" spans="10:11" x14ac:dyDescent="0.25">
      <c r="J1018" s="436"/>
      <c r="K1018" s="436"/>
    </row>
    <row r="1019" spans="10:11" x14ac:dyDescent="0.25">
      <c r="J1019" s="436"/>
      <c r="K1019" s="436"/>
    </row>
    <row r="1020" spans="10:11" x14ac:dyDescent="0.25">
      <c r="J1020" s="436"/>
      <c r="K1020" s="436"/>
    </row>
    <row r="1021" spans="10:11" x14ac:dyDescent="0.25">
      <c r="J1021" s="436"/>
      <c r="K1021" s="436"/>
    </row>
    <row r="1022" spans="10:11" x14ac:dyDescent="0.25">
      <c r="J1022" s="436"/>
      <c r="K1022" s="436"/>
    </row>
    <row r="1023" spans="10:11" x14ac:dyDescent="0.25">
      <c r="J1023" s="436"/>
      <c r="K1023" s="436"/>
    </row>
    <row r="1024" spans="10:11" x14ac:dyDescent="0.25">
      <c r="J1024" s="436"/>
      <c r="K1024" s="436"/>
    </row>
    <row r="1025" spans="10:11" x14ac:dyDescent="0.25">
      <c r="J1025" s="436"/>
      <c r="K1025" s="436"/>
    </row>
    <row r="1026" spans="10:11" x14ac:dyDescent="0.25">
      <c r="J1026" s="436"/>
      <c r="K1026" s="436"/>
    </row>
    <row r="1027" spans="10:11" x14ac:dyDescent="0.25">
      <c r="J1027" s="436"/>
      <c r="K1027" s="436"/>
    </row>
    <row r="1028" spans="10:11" x14ac:dyDescent="0.25">
      <c r="J1028" s="436"/>
      <c r="K1028" s="436"/>
    </row>
    <row r="1029" spans="10:11" x14ac:dyDescent="0.25">
      <c r="J1029" s="436"/>
      <c r="K1029" s="436"/>
    </row>
    <row r="1030" spans="10:11" x14ac:dyDescent="0.25">
      <c r="J1030" s="436"/>
      <c r="K1030" s="436"/>
    </row>
    <row r="1031" spans="10:11" x14ac:dyDescent="0.25">
      <c r="J1031" s="436"/>
      <c r="K1031" s="436"/>
    </row>
    <row r="1032" spans="10:11" x14ac:dyDescent="0.25">
      <c r="J1032" s="436"/>
      <c r="K1032" s="436"/>
    </row>
    <row r="1033" spans="10:11" x14ac:dyDescent="0.25">
      <c r="J1033" s="436"/>
      <c r="K1033" s="436"/>
    </row>
    <row r="1034" spans="10:11" x14ac:dyDescent="0.25">
      <c r="J1034" s="436"/>
      <c r="K1034" s="436"/>
    </row>
    <row r="1035" spans="10:11" x14ac:dyDescent="0.25">
      <c r="J1035" s="436"/>
      <c r="K1035" s="436"/>
    </row>
    <row r="1036" spans="10:11" x14ac:dyDescent="0.25">
      <c r="J1036" s="436"/>
      <c r="K1036" s="436"/>
    </row>
    <row r="1037" spans="10:11" x14ac:dyDescent="0.25">
      <c r="J1037" s="436"/>
      <c r="K1037" s="436"/>
    </row>
    <row r="1038" spans="10:11" x14ac:dyDescent="0.25">
      <c r="J1038" s="436"/>
      <c r="K1038" s="436"/>
    </row>
    <row r="1039" spans="10:11" x14ac:dyDescent="0.25">
      <c r="J1039" s="436"/>
      <c r="K1039" s="436"/>
    </row>
    <row r="1040" spans="10:11" x14ac:dyDescent="0.25">
      <c r="J1040" s="436"/>
      <c r="K1040" s="436"/>
    </row>
    <row r="1041" spans="10:11" x14ac:dyDescent="0.25">
      <c r="J1041" s="436"/>
      <c r="K1041" s="436"/>
    </row>
    <row r="1042" spans="10:11" x14ac:dyDescent="0.25">
      <c r="J1042" s="436"/>
      <c r="K1042" s="436"/>
    </row>
    <row r="1043" spans="10:11" x14ac:dyDescent="0.25">
      <c r="J1043" s="436"/>
      <c r="K1043" s="436"/>
    </row>
    <row r="1044" spans="10:11" x14ac:dyDescent="0.25">
      <c r="J1044" s="436"/>
      <c r="K1044" s="436"/>
    </row>
    <row r="1045" spans="10:11" x14ac:dyDescent="0.25">
      <c r="J1045" s="436"/>
      <c r="K1045" s="436"/>
    </row>
    <row r="1046" spans="10:11" x14ac:dyDescent="0.25">
      <c r="J1046" s="436"/>
      <c r="K1046" s="436"/>
    </row>
    <row r="1047" spans="10:11" x14ac:dyDescent="0.25">
      <c r="J1047" s="436"/>
      <c r="K1047" s="436"/>
    </row>
    <row r="1048" spans="10:11" x14ac:dyDescent="0.25">
      <c r="J1048" s="436"/>
      <c r="K1048" s="436"/>
    </row>
    <row r="1049" spans="10:11" x14ac:dyDescent="0.25">
      <c r="J1049" s="436"/>
      <c r="K1049" s="436"/>
    </row>
    <row r="1050" spans="10:11" x14ac:dyDescent="0.25">
      <c r="J1050" s="436"/>
      <c r="K1050" s="436"/>
    </row>
    <row r="1051" spans="10:11" x14ac:dyDescent="0.25">
      <c r="J1051" s="436"/>
      <c r="K1051" s="436"/>
    </row>
    <row r="1052" spans="10:11" x14ac:dyDescent="0.25">
      <c r="J1052" s="436"/>
      <c r="K1052" s="436"/>
    </row>
    <row r="1053" spans="10:11" x14ac:dyDescent="0.25">
      <c r="J1053" s="436"/>
      <c r="K1053" s="436"/>
    </row>
    <row r="1054" spans="10:11" x14ac:dyDescent="0.25">
      <c r="J1054" s="436"/>
      <c r="K1054" s="436"/>
    </row>
    <row r="1055" spans="10:11" x14ac:dyDescent="0.25">
      <c r="J1055" s="436"/>
      <c r="K1055" s="436"/>
    </row>
    <row r="1056" spans="10:11" x14ac:dyDescent="0.25">
      <c r="J1056" s="436"/>
      <c r="K1056" s="436"/>
    </row>
    <row r="1057" spans="10:11" x14ac:dyDescent="0.25">
      <c r="J1057" s="436"/>
      <c r="K1057" s="436"/>
    </row>
    <row r="1058" spans="10:11" x14ac:dyDescent="0.25">
      <c r="J1058" s="436"/>
      <c r="K1058" s="436"/>
    </row>
    <row r="1059" spans="10:11" x14ac:dyDescent="0.25">
      <c r="J1059" s="436"/>
      <c r="K1059" s="436"/>
    </row>
    <row r="1060" spans="10:11" x14ac:dyDescent="0.25">
      <c r="J1060" s="436"/>
      <c r="K1060" s="436"/>
    </row>
    <row r="1061" spans="10:11" x14ac:dyDescent="0.25">
      <c r="J1061" s="436"/>
      <c r="K1061" s="436"/>
    </row>
    <row r="1062" spans="10:11" x14ac:dyDescent="0.25">
      <c r="J1062" s="436"/>
      <c r="K1062" s="436"/>
    </row>
    <row r="1063" spans="10:11" x14ac:dyDescent="0.25">
      <c r="J1063" s="436"/>
      <c r="K1063" s="436"/>
    </row>
    <row r="1064" spans="10:11" x14ac:dyDescent="0.25">
      <c r="J1064" s="436"/>
      <c r="K1064" s="436"/>
    </row>
    <row r="1065" spans="10:11" x14ac:dyDescent="0.25">
      <c r="J1065" s="436"/>
      <c r="K1065" s="436"/>
    </row>
    <row r="1066" spans="10:11" x14ac:dyDescent="0.25">
      <c r="J1066" s="436"/>
      <c r="K1066" s="436"/>
    </row>
    <row r="1067" spans="10:11" x14ac:dyDescent="0.25">
      <c r="J1067" s="436"/>
      <c r="K1067" s="436"/>
    </row>
    <row r="1068" spans="10:11" x14ac:dyDescent="0.25">
      <c r="J1068" s="436"/>
      <c r="K1068" s="436"/>
    </row>
    <row r="1069" spans="10:11" x14ac:dyDescent="0.25">
      <c r="J1069" s="436"/>
      <c r="K1069" s="436"/>
    </row>
    <row r="1070" spans="10:11" x14ac:dyDescent="0.25">
      <c r="J1070" s="436"/>
      <c r="K1070" s="436"/>
    </row>
    <row r="1071" spans="10:11" x14ac:dyDescent="0.25">
      <c r="J1071" s="436"/>
      <c r="K1071" s="436"/>
    </row>
    <row r="1072" spans="10:11" x14ac:dyDescent="0.25">
      <c r="J1072" s="436"/>
      <c r="K1072" s="436"/>
    </row>
    <row r="1073" spans="10:11" x14ac:dyDescent="0.25">
      <c r="J1073" s="436"/>
      <c r="K1073" s="436"/>
    </row>
    <row r="1074" spans="10:11" x14ac:dyDescent="0.25">
      <c r="J1074" s="436"/>
      <c r="K1074" s="436"/>
    </row>
    <row r="1075" spans="10:11" x14ac:dyDescent="0.25">
      <c r="J1075" s="436"/>
      <c r="K1075" s="436"/>
    </row>
    <row r="1076" spans="10:11" x14ac:dyDescent="0.25">
      <c r="J1076" s="436"/>
      <c r="K1076" s="436"/>
    </row>
    <row r="1077" spans="10:11" x14ac:dyDescent="0.25">
      <c r="J1077" s="436"/>
      <c r="K1077" s="436"/>
    </row>
    <row r="1078" spans="10:11" x14ac:dyDescent="0.25">
      <c r="J1078" s="436"/>
      <c r="K1078" s="436"/>
    </row>
    <row r="1079" spans="10:11" x14ac:dyDescent="0.25">
      <c r="J1079" s="436"/>
      <c r="K1079" s="436"/>
    </row>
    <row r="1080" spans="10:11" x14ac:dyDescent="0.25">
      <c r="J1080" s="436"/>
      <c r="K1080" s="436"/>
    </row>
    <row r="1081" spans="10:11" x14ac:dyDescent="0.25">
      <c r="J1081" s="436"/>
      <c r="K1081" s="436"/>
    </row>
    <row r="1082" spans="10:11" x14ac:dyDescent="0.25">
      <c r="J1082" s="436"/>
      <c r="K1082" s="436"/>
    </row>
    <row r="1083" spans="10:11" x14ac:dyDescent="0.25">
      <c r="J1083" s="436"/>
      <c r="K1083" s="436"/>
    </row>
    <row r="1084" spans="10:11" x14ac:dyDescent="0.25">
      <c r="J1084" s="436"/>
      <c r="K1084" s="436"/>
    </row>
    <row r="1085" spans="10:11" x14ac:dyDescent="0.25">
      <c r="J1085" s="436"/>
      <c r="K1085" s="436"/>
    </row>
    <row r="1086" spans="10:11" x14ac:dyDescent="0.25">
      <c r="J1086" s="436"/>
      <c r="K1086" s="436"/>
    </row>
    <row r="1087" spans="10:11" x14ac:dyDescent="0.25">
      <c r="J1087" s="436"/>
      <c r="K1087" s="436"/>
    </row>
    <row r="1088" spans="10:11" x14ac:dyDescent="0.25">
      <c r="J1088" s="436"/>
      <c r="K1088" s="436"/>
    </row>
    <row r="1089" spans="10:11" x14ac:dyDescent="0.25">
      <c r="J1089" s="436"/>
      <c r="K1089" s="436"/>
    </row>
    <row r="1090" spans="10:11" x14ac:dyDescent="0.25">
      <c r="J1090" s="436"/>
      <c r="K1090" s="436"/>
    </row>
    <row r="1091" spans="10:11" x14ac:dyDescent="0.25">
      <c r="J1091" s="436"/>
      <c r="K1091" s="436"/>
    </row>
    <row r="1092" spans="10:11" x14ac:dyDescent="0.25">
      <c r="J1092" s="436"/>
      <c r="K1092" s="436"/>
    </row>
    <row r="1093" spans="10:11" x14ac:dyDescent="0.25">
      <c r="J1093" s="436"/>
      <c r="K1093" s="436"/>
    </row>
    <row r="1094" spans="10:11" x14ac:dyDescent="0.25">
      <c r="J1094" s="436"/>
      <c r="K1094" s="436"/>
    </row>
    <row r="1095" spans="10:11" x14ac:dyDescent="0.25">
      <c r="J1095" s="436"/>
      <c r="K1095" s="436"/>
    </row>
    <row r="1096" spans="10:11" x14ac:dyDescent="0.25">
      <c r="J1096" s="436"/>
      <c r="K1096" s="436"/>
    </row>
    <row r="1097" spans="10:11" x14ac:dyDescent="0.25">
      <c r="J1097" s="436"/>
      <c r="K1097" s="436"/>
    </row>
    <row r="1098" spans="10:11" x14ac:dyDescent="0.25">
      <c r="J1098" s="436"/>
      <c r="K1098" s="436"/>
    </row>
    <row r="1099" spans="10:11" x14ac:dyDescent="0.25">
      <c r="J1099" s="436"/>
      <c r="K1099" s="436"/>
    </row>
    <row r="1100" spans="10:11" x14ac:dyDescent="0.25">
      <c r="J1100" s="436"/>
      <c r="K1100" s="436"/>
    </row>
    <row r="1101" spans="10:11" x14ac:dyDescent="0.25">
      <c r="J1101" s="436"/>
      <c r="K1101" s="436"/>
    </row>
    <row r="1102" spans="10:11" x14ac:dyDescent="0.25">
      <c r="J1102" s="436"/>
      <c r="K1102" s="436"/>
    </row>
    <row r="1103" spans="10:11" x14ac:dyDescent="0.25">
      <c r="J1103" s="436"/>
      <c r="K1103" s="436"/>
    </row>
    <row r="1104" spans="10:11" x14ac:dyDescent="0.25">
      <c r="J1104" s="436"/>
      <c r="K1104" s="436"/>
    </row>
    <row r="1105" spans="10:11" x14ac:dyDescent="0.25">
      <c r="J1105" s="436"/>
      <c r="K1105" s="436"/>
    </row>
    <row r="1106" spans="10:11" x14ac:dyDescent="0.25">
      <c r="J1106" s="436"/>
      <c r="K1106" s="436"/>
    </row>
    <row r="1107" spans="10:11" x14ac:dyDescent="0.25">
      <c r="J1107" s="436"/>
      <c r="K1107" s="436"/>
    </row>
    <row r="1108" spans="10:11" x14ac:dyDescent="0.25">
      <c r="J1108" s="436"/>
      <c r="K1108" s="436"/>
    </row>
    <row r="1109" spans="10:11" x14ac:dyDescent="0.25">
      <c r="J1109" s="436"/>
      <c r="K1109" s="436"/>
    </row>
    <row r="1110" spans="10:11" x14ac:dyDescent="0.25">
      <c r="J1110" s="436"/>
      <c r="K1110" s="436"/>
    </row>
    <row r="1111" spans="10:11" x14ac:dyDescent="0.25">
      <c r="J1111" s="436"/>
      <c r="K1111" s="436"/>
    </row>
    <row r="1112" spans="10:11" x14ac:dyDescent="0.25">
      <c r="J1112" s="436"/>
      <c r="K1112" s="436"/>
    </row>
    <row r="1113" spans="10:11" x14ac:dyDescent="0.25">
      <c r="J1113" s="436"/>
      <c r="K1113" s="436"/>
    </row>
    <row r="1114" spans="10:11" x14ac:dyDescent="0.25">
      <c r="J1114" s="436"/>
      <c r="K1114" s="436"/>
    </row>
    <row r="1115" spans="10:11" x14ac:dyDescent="0.25">
      <c r="J1115" s="436"/>
      <c r="K1115" s="436"/>
    </row>
    <row r="1116" spans="10:11" x14ac:dyDescent="0.25">
      <c r="J1116" s="436"/>
      <c r="K1116" s="436"/>
    </row>
    <row r="1117" spans="10:11" x14ac:dyDescent="0.25">
      <c r="J1117" s="436"/>
      <c r="K1117" s="436"/>
    </row>
    <row r="1118" spans="10:11" x14ac:dyDescent="0.25">
      <c r="J1118" s="436"/>
      <c r="K1118" s="436"/>
    </row>
    <row r="1119" spans="10:11" x14ac:dyDescent="0.25">
      <c r="J1119" s="436"/>
      <c r="K1119" s="436"/>
    </row>
    <row r="1120" spans="10:11" x14ac:dyDescent="0.25">
      <c r="J1120" s="436"/>
      <c r="K1120" s="436"/>
    </row>
    <row r="1121" spans="10:11" x14ac:dyDescent="0.25">
      <c r="J1121" s="436"/>
      <c r="K1121" s="436"/>
    </row>
    <row r="1122" spans="10:11" x14ac:dyDescent="0.25">
      <c r="J1122" s="436"/>
      <c r="K1122" s="436"/>
    </row>
    <row r="1123" spans="10:11" x14ac:dyDescent="0.25">
      <c r="J1123" s="436"/>
      <c r="K1123" s="436"/>
    </row>
    <row r="1124" spans="10:11" x14ac:dyDescent="0.25">
      <c r="J1124" s="436"/>
      <c r="K1124" s="436"/>
    </row>
    <row r="1125" spans="10:11" x14ac:dyDescent="0.25">
      <c r="J1125" s="436"/>
      <c r="K1125" s="436"/>
    </row>
    <row r="1126" spans="10:11" x14ac:dyDescent="0.25">
      <c r="J1126" s="436"/>
      <c r="K1126" s="436"/>
    </row>
    <row r="1127" spans="10:11" x14ac:dyDescent="0.25">
      <c r="J1127" s="436"/>
      <c r="K1127" s="436"/>
    </row>
    <row r="1128" spans="10:11" x14ac:dyDescent="0.25">
      <c r="J1128" s="436"/>
      <c r="K1128" s="436"/>
    </row>
    <row r="1129" spans="10:11" x14ac:dyDescent="0.25">
      <c r="J1129" s="436"/>
      <c r="K1129" s="436"/>
    </row>
    <row r="1130" spans="10:11" x14ac:dyDescent="0.25">
      <c r="J1130" s="436"/>
      <c r="K1130" s="436"/>
    </row>
    <row r="1131" spans="10:11" x14ac:dyDescent="0.25">
      <c r="J1131" s="436"/>
      <c r="K1131" s="436"/>
    </row>
    <row r="1132" spans="10:11" x14ac:dyDescent="0.25">
      <c r="J1132" s="436"/>
      <c r="K1132" s="436"/>
    </row>
    <row r="1133" spans="10:11" x14ac:dyDescent="0.25">
      <c r="J1133" s="436"/>
      <c r="K1133" s="436"/>
    </row>
    <row r="1134" spans="10:11" x14ac:dyDescent="0.25">
      <c r="J1134" s="436"/>
      <c r="K1134" s="436"/>
    </row>
    <row r="1135" spans="10:11" x14ac:dyDescent="0.25">
      <c r="J1135" s="436"/>
      <c r="K1135" s="436"/>
    </row>
    <row r="1136" spans="10:11" x14ac:dyDescent="0.25">
      <c r="J1136" s="436"/>
      <c r="K1136" s="436"/>
    </row>
    <row r="1137" spans="10:11" x14ac:dyDescent="0.25">
      <c r="J1137" s="436"/>
      <c r="K1137" s="436"/>
    </row>
    <row r="1138" spans="10:11" x14ac:dyDescent="0.25">
      <c r="J1138" s="436"/>
      <c r="K1138" s="436"/>
    </row>
    <row r="1139" spans="10:11" x14ac:dyDescent="0.25">
      <c r="J1139" s="436"/>
      <c r="K1139" s="436"/>
    </row>
    <row r="1140" spans="10:11" x14ac:dyDescent="0.25">
      <c r="J1140" s="436"/>
      <c r="K1140" s="436"/>
    </row>
    <row r="1141" spans="10:11" x14ac:dyDescent="0.25">
      <c r="J1141" s="436"/>
      <c r="K1141" s="436"/>
    </row>
    <row r="1142" spans="10:11" x14ac:dyDescent="0.25">
      <c r="J1142" s="436"/>
      <c r="K1142" s="436"/>
    </row>
    <row r="1143" spans="10:11" x14ac:dyDescent="0.25">
      <c r="J1143" s="436"/>
      <c r="K1143" s="436"/>
    </row>
    <row r="1144" spans="10:11" x14ac:dyDescent="0.25">
      <c r="J1144" s="436"/>
      <c r="K1144" s="436"/>
    </row>
    <row r="1145" spans="10:11" x14ac:dyDescent="0.25">
      <c r="J1145" s="436"/>
      <c r="K1145" s="436"/>
    </row>
    <row r="1146" spans="10:11" x14ac:dyDescent="0.25">
      <c r="J1146" s="436"/>
      <c r="K1146" s="436"/>
    </row>
    <row r="1147" spans="10:11" x14ac:dyDescent="0.25">
      <c r="J1147" s="436"/>
      <c r="K1147" s="436"/>
    </row>
    <row r="1148" spans="10:11" x14ac:dyDescent="0.25">
      <c r="J1148" s="436"/>
      <c r="K1148" s="436"/>
    </row>
    <row r="1149" spans="10:11" x14ac:dyDescent="0.25">
      <c r="J1149" s="436"/>
      <c r="K1149" s="436"/>
    </row>
    <row r="1150" spans="10:11" x14ac:dyDescent="0.25">
      <c r="J1150" s="436"/>
      <c r="K1150" s="436"/>
    </row>
    <row r="1151" spans="10:11" x14ac:dyDescent="0.25">
      <c r="J1151" s="436"/>
      <c r="K1151" s="436"/>
    </row>
    <row r="1152" spans="10:11" x14ac:dyDescent="0.25">
      <c r="J1152" s="436"/>
      <c r="K1152" s="436"/>
    </row>
    <row r="1153" spans="10:11" x14ac:dyDescent="0.25">
      <c r="J1153" s="436"/>
      <c r="K1153" s="436"/>
    </row>
    <row r="1154" spans="10:11" x14ac:dyDescent="0.25">
      <c r="J1154" s="436"/>
      <c r="K1154" s="436"/>
    </row>
    <row r="1155" spans="10:11" x14ac:dyDescent="0.25">
      <c r="J1155" s="436"/>
      <c r="K1155" s="436"/>
    </row>
    <row r="1156" spans="10:11" x14ac:dyDescent="0.25">
      <c r="J1156" s="436"/>
      <c r="K1156" s="436"/>
    </row>
    <row r="1157" spans="10:11" x14ac:dyDescent="0.25">
      <c r="J1157" s="436"/>
      <c r="K1157" s="436"/>
    </row>
    <row r="1158" spans="10:11" x14ac:dyDescent="0.25">
      <c r="J1158" s="436"/>
      <c r="K1158" s="436"/>
    </row>
    <row r="1159" spans="10:11" x14ac:dyDescent="0.25">
      <c r="J1159" s="436"/>
      <c r="K1159" s="436"/>
    </row>
    <row r="1160" spans="10:11" x14ac:dyDescent="0.25">
      <c r="J1160" s="436"/>
      <c r="K1160" s="436"/>
    </row>
    <row r="1161" spans="10:11" x14ac:dyDescent="0.25">
      <c r="J1161" s="436"/>
      <c r="K1161" s="436"/>
    </row>
    <row r="1162" spans="10:11" x14ac:dyDescent="0.25">
      <c r="J1162" s="436"/>
      <c r="K1162" s="436"/>
    </row>
    <row r="1163" spans="10:11" x14ac:dyDescent="0.25">
      <c r="J1163" s="436"/>
      <c r="K1163" s="436"/>
    </row>
    <row r="1164" spans="10:11" x14ac:dyDescent="0.25">
      <c r="J1164" s="436"/>
      <c r="K1164" s="436"/>
    </row>
    <row r="1165" spans="10:11" x14ac:dyDescent="0.25">
      <c r="J1165" s="436"/>
      <c r="K1165" s="436"/>
    </row>
    <row r="1166" spans="10:11" x14ac:dyDescent="0.25">
      <c r="J1166" s="436"/>
      <c r="K1166" s="436"/>
    </row>
    <row r="1167" spans="10:11" x14ac:dyDescent="0.25">
      <c r="J1167" s="436"/>
      <c r="K1167" s="436"/>
    </row>
    <row r="1168" spans="10:11" x14ac:dyDescent="0.25">
      <c r="J1168" s="436"/>
      <c r="K1168" s="436"/>
    </row>
    <row r="1169" spans="10:11" x14ac:dyDescent="0.25">
      <c r="J1169" s="436"/>
      <c r="K1169" s="436"/>
    </row>
    <row r="1170" spans="10:11" x14ac:dyDescent="0.25">
      <c r="J1170" s="436"/>
      <c r="K1170" s="436"/>
    </row>
    <row r="1171" spans="10:11" x14ac:dyDescent="0.25">
      <c r="J1171" s="436"/>
      <c r="K1171" s="436"/>
    </row>
    <row r="1172" spans="10:11" x14ac:dyDescent="0.25">
      <c r="J1172" s="436"/>
      <c r="K1172" s="436"/>
    </row>
    <row r="1173" spans="10:11" x14ac:dyDescent="0.25">
      <c r="J1173" s="436"/>
      <c r="K1173" s="436"/>
    </row>
    <row r="1174" spans="10:11" x14ac:dyDescent="0.25">
      <c r="J1174" s="436"/>
      <c r="K1174" s="436"/>
    </row>
    <row r="1175" spans="10:11" x14ac:dyDescent="0.25">
      <c r="J1175" s="436"/>
      <c r="K1175" s="436"/>
    </row>
    <row r="1176" spans="10:11" x14ac:dyDescent="0.25">
      <c r="J1176" s="436"/>
      <c r="K1176" s="436"/>
    </row>
    <row r="1177" spans="10:11" x14ac:dyDescent="0.25">
      <c r="J1177" s="436"/>
      <c r="K1177" s="436"/>
    </row>
    <row r="1178" spans="10:11" x14ac:dyDescent="0.25">
      <c r="J1178" s="436"/>
      <c r="K1178" s="436"/>
    </row>
    <row r="1179" spans="10:11" x14ac:dyDescent="0.25">
      <c r="J1179" s="436"/>
      <c r="K1179" s="436"/>
    </row>
    <row r="1180" spans="10:11" x14ac:dyDescent="0.25">
      <c r="J1180" s="436"/>
      <c r="K1180" s="436"/>
    </row>
    <row r="1181" spans="10:11" x14ac:dyDescent="0.25">
      <c r="J1181" s="436"/>
      <c r="K1181" s="436"/>
    </row>
    <row r="1182" spans="10:11" x14ac:dyDescent="0.25">
      <c r="J1182" s="436"/>
      <c r="K1182" s="436"/>
    </row>
    <row r="1183" spans="10:11" x14ac:dyDescent="0.25">
      <c r="J1183" s="436"/>
      <c r="K1183" s="436"/>
    </row>
    <row r="1184" spans="10:11" x14ac:dyDescent="0.25">
      <c r="J1184" s="436"/>
      <c r="K1184" s="436"/>
    </row>
    <row r="1185" spans="10:11" x14ac:dyDescent="0.25">
      <c r="J1185" s="436"/>
      <c r="K1185" s="436"/>
    </row>
    <row r="1186" spans="10:11" x14ac:dyDescent="0.25">
      <c r="J1186" s="436"/>
      <c r="K1186" s="436"/>
    </row>
    <row r="1187" spans="10:11" x14ac:dyDescent="0.25">
      <c r="J1187" s="436"/>
      <c r="K1187" s="436"/>
    </row>
    <row r="1188" spans="10:11" x14ac:dyDescent="0.25">
      <c r="J1188" s="436"/>
      <c r="K1188" s="436"/>
    </row>
    <row r="1189" spans="10:11" x14ac:dyDescent="0.25">
      <c r="J1189" s="436"/>
      <c r="K1189" s="436"/>
    </row>
    <row r="1190" spans="10:11" x14ac:dyDescent="0.25">
      <c r="J1190" s="436"/>
      <c r="K1190" s="436"/>
    </row>
    <row r="1191" spans="10:11" x14ac:dyDescent="0.25">
      <c r="J1191" s="436"/>
      <c r="K1191" s="436"/>
    </row>
    <row r="1192" spans="10:11" x14ac:dyDescent="0.25">
      <c r="J1192" s="436"/>
      <c r="K1192" s="436"/>
    </row>
    <row r="1193" spans="10:11" x14ac:dyDescent="0.25">
      <c r="J1193" s="436"/>
      <c r="K1193" s="436"/>
    </row>
    <row r="1194" spans="10:11" x14ac:dyDescent="0.25">
      <c r="J1194" s="436"/>
      <c r="K1194" s="436"/>
    </row>
    <row r="1195" spans="10:11" x14ac:dyDescent="0.25">
      <c r="J1195" s="436"/>
      <c r="K1195" s="436"/>
    </row>
    <row r="1196" spans="10:11" x14ac:dyDescent="0.25">
      <c r="J1196" s="436"/>
      <c r="K1196" s="436"/>
    </row>
    <row r="1197" spans="10:11" x14ac:dyDescent="0.25">
      <c r="J1197" s="436"/>
      <c r="K1197" s="436"/>
    </row>
    <row r="1198" spans="10:11" x14ac:dyDescent="0.25">
      <c r="J1198" s="436"/>
      <c r="K1198" s="436"/>
    </row>
    <row r="1199" spans="10:11" x14ac:dyDescent="0.25">
      <c r="J1199" s="436"/>
      <c r="K1199" s="436"/>
    </row>
    <row r="1200" spans="10:11" x14ac:dyDescent="0.25">
      <c r="J1200" s="436"/>
      <c r="K1200" s="436"/>
    </row>
    <row r="1201" spans="10:11" x14ac:dyDescent="0.25">
      <c r="J1201" s="436"/>
      <c r="K1201" s="436"/>
    </row>
    <row r="1202" spans="10:11" x14ac:dyDescent="0.25">
      <c r="J1202" s="436"/>
      <c r="K1202" s="436"/>
    </row>
    <row r="1203" spans="10:11" x14ac:dyDescent="0.25">
      <c r="J1203" s="436"/>
      <c r="K1203" s="436"/>
    </row>
    <row r="1204" spans="10:11" x14ac:dyDescent="0.25">
      <c r="J1204" s="436"/>
      <c r="K1204" s="436"/>
    </row>
    <row r="1205" spans="10:11" x14ac:dyDescent="0.25">
      <c r="J1205" s="436"/>
      <c r="K1205" s="436"/>
    </row>
    <row r="1206" spans="10:11" x14ac:dyDescent="0.25">
      <c r="J1206" s="436"/>
      <c r="K1206" s="436"/>
    </row>
    <row r="1207" spans="10:11" x14ac:dyDescent="0.25">
      <c r="J1207" s="436"/>
      <c r="K1207" s="436"/>
    </row>
    <row r="1208" spans="10:11" x14ac:dyDescent="0.25">
      <c r="J1208" s="436"/>
      <c r="K1208" s="436"/>
    </row>
    <row r="1209" spans="10:11" x14ac:dyDescent="0.25">
      <c r="J1209" s="436"/>
      <c r="K1209" s="436"/>
    </row>
    <row r="1210" spans="10:11" x14ac:dyDescent="0.25">
      <c r="J1210" s="436"/>
      <c r="K1210" s="436"/>
    </row>
    <row r="1211" spans="10:11" x14ac:dyDescent="0.25">
      <c r="J1211" s="436"/>
      <c r="K1211" s="436"/>
    </row>
    <row r="1212" spans="10:11" x14ac:dyDescent="0.25">
      <c r="J1212" s="436"/>
      <c r="K1212" s="436"/>
    </row>
    <row r="1213" spans="10:11" x14ac:dyDescent="0.25">
      <c r="J1213" s="436"/>
      <c r="K1213" s="436"/>
    </row>
    <row r="1214" spans="10:11" x14ac:dyDescent="0.25">
      <c r="J1214" s="436"/>
      <c r="K1214" s="436"/>
    </row>
    <row r="1215" spans="10:11" x14ac:dyDescent="0.25">
      <c r="J1215" s="436"/>
      <c r="K1215" s="436"/>
    </row>
    <row r="1216" spans="10:11" x14ac:dyDescent="0.25">
      <c r="J1216" s="436"/>
      <c r="K1216" s="436"/>
    </row>
    <row r="1217" spans="10:11" x14ac:dyDescent="0.25">
      <c r="J1217" s="436"/>
      <c r="K1217" s="436"/>
    </row>
    <row r="1218" spans="10:11" x14ac:dyDescent="0.25">
      <c r="J1218" s="436"/>
      <c r="K1218" s="436"/>
    </row>
    <row r="1219" spans="10:11" x14ac:dyDescent="0.25">
      <c r="J1219" s="436"/>
      <c r="K1219" s="436"/>
    </row>
    <row r="1220" spans="10:11" x14ac:dyDescent="0.25">
      <c r="J1220" s="436"/>
      <c r="K1220" s="436"/>
    </row>
    <row r="1221" spans="10:11" x14ac:dyDescent="0.25">
      <c r="J1221" s="436"/>
      <c r="K1221" s="436"/>
    </row>
    <row r="1222" spans="10:11" x14ac:dyDescent="0.25">
      <c r="J1222" s="436"/>
      <c r="K1222" s="436"/>
    </row>
    <row r="1223" spans="10:11" x14ac:dyDescent="0.25">
      <c r="J1223" s="436"/>
      <c r="K1223" s="436"/>
    </row>
    <row r="1224" spans="10:11" x14ac:dyDescent="0.25">
      <c r="J1224" s="436"/>
      <c r="K1224" s="436"/>
    </row>
    <row r="1225" spans="10:11" x14ac:dyDescent="0.25">
      <c r="J1225" s="436"/>
      <c r="K1225" s="436"/>
    </row>
    <row r="1226" spans="10:11" x14ac:dyDescent="0.25">
      <c r="J1226" s="436"/>
      <c r="K1226" s="436"/>
    </row>
    <row r="1227" spans="10:11" x14ac:dyDescent="0.25">
      <c r="J1227" s="436"/>
      <c r="K1227" s="436"/>
    </row>
    <row r="1228" spans="10:11" x14ac:dyDescent="0.25">
      <c r="J1228" s="436"/>
      <c r="K1228" s="436"/>
    </row>
    <row r="1229" spans="10:11" x14ac:dyDescent="0.25">
      <c r="J1229" s="436"/>
      <c r="K1229" s="436"/>
    </row>
    <row r="1230" spans="10:11" x14ac:dyDescent="0.25">
      <c r="J1230" s="436"/>
      <c r="K1230" s="436"/>
    </row>
    <row r="1231" spans="10:11" x14ac:dyDescent="0.25">
      <c r="J1231" s="436"/>
      <c r="K1231" s="436"/>
    </row>
    <row r="1232" spans="10:11" x14ac:dyDescent="0.25">
      <c r="J1232" s="436"/>
      <c r="K1232" s="436"/>
    </row>
    <row r="1233" spans="10:11" x14ac:dyDescent="0.25">
      <c r="J1233" s="436"/>
      <c r="K1233" s="436"/>
    </row>
    <row r="1234" spans="10:11" x14ac:dyDescent="0.25">
      <c r="J1234" s="436"/>
      <c r="K1234" s="436"/>
    </row>
    <row r="1235" spans="10:11" x14ac:dyDescent="0.25">
      <c r="J1235" s="436"/>
      <c r="K1235" s="436"/>
    </row>
    <row r="1236" spans="10:11" x14ac:dyDescent="0.25">
      <c r="J1236" s="436"/>
      <c r="K1236" s="436"/>
    </row>
    <row r="1237" spans="10:11" x14ac:dyDescent="0.25">
      <c r="J1237" s="436"/>
      <c r="K1237" s="436"/>
    </row>
    <row r="1238" spans="10:11" x14ac:dyDescent="0.25">
      <c r="J1238" s="436"/>
      <c r="K1238" s="436"/>
    </row>
    <row r="1239" spans="10:11" x14ac:dyDescent="0.25">
      <c r="J1239" s="436"/>
      <c r="K1239" s="436"/>
    </row>
    <row r="1240" spans="10:11" x14ac:dyDescent="0.25">
      <c r="J1240" s="436"/>
      <c r="K1240" s="436"/>
    </row>
    <row r="1241" spans="10:11" x14ac:dyDescent="0.25">
      <c r="J1241" s="436"/>
      <c r="K1241" s="436"/>
    </row>
    <row r="1242" spans="10:11" x14ac:dyDescent="0.25">
      <c r="J1242" s="436"/>
      <c r="K1242" s="436"/>
    </row>
    <row r="1243" spans="10:11" x14ac:dyDescent="0.25">
      <c r="J1243" s="436"/>
      <c r="K1243" s="436"/>
    </row>
    <row r="1244" spans="10:11" x14ac:dyDescent="0.25">
      <c r="J1244" s="436"/>
      <c r="K1244" s="436"/>
    </row>
    <row r="1245" spans="10:11" x14ac:dyDescent="0.25">
      <c r="J1245" s="436"/>
      <c r="K1245" s="436"/>
    </row>
    <row r="1246" spans="10:11" x14ac:dyDescent="0.25">
      <c r="J1246" s="436"/>
      <c r="K1246" s="436"/>
    </row>
    <row r="1247" spans="10:11" x14ac:dyDescent="0.25">
      <c r="J1247" s="436"/>
      <c r="K1247" s="436"/>
    </row>
    <row r="1248" spans="10:11" x14ac:dyDescent="0.25">
      <c r="J1248" s="436"/>
      <c r="K1248" s="436"/>
    </row>
    <row r="1249" spans="10:11" x14ac:dyDescent="0.25">
      <c r="J1249" s="436"/>
      <c r="K1249" s="436"/>
    </row>
    <row r="1250" spans="10:11" x14ac:dyDescent="0.25">
      <c r="J1250" s="436"/>
      <c r="K1250" s="436"/>
    </row>
    <row r="1251" spans="10:11" x14ac:dyDescent="0.25">
      <c r="J1251" s="436"/>
      <c r="K1251" s="436"/>
    </row>
    <row r="1252" spans="10:11" x14ac:dyDescent="0.25">
      <c r="J1252" s="436"/>
      <c r="K1252" s="436"/>
    </row>
    <row r="1253" spans="10:11" x14ac:dyDescent="0.25">
      <c r="J1253" s="436"/>
      <c r="K1253" s="436"/>
    </row>
    <row r="1254" spans="10:11" x14ac:dyDescent="0.25">
      <c r="J1254" s="436"/>
      <c r="K1254" s="436"/>
    </row>
    <row r="1255" spans="10:11" x14ac:dyDescent="0.25">
      <c r="J1255" s="436"/>
      <c r="K1255" s="436"/>
    </row>
    <row r="1256" spans="10:11" x14ac:dyDescent="0.25">
      <c r="J1256" s="436"/>
      <c r="K1256" s="436"/>
    </row>
    <row r="1257" spans="10:11" x14ac:dyDescent="0.25">
      <c r="J1257" s="436"/>
      <c r="K1257" s="436"/>
    </row>
    <row r="1258" spans="10:11" x14ac:dyDescent="0.25">
      <c r="J1258" s="436"/>
      <c r="K1258" s="436"/>
    </row>
    <row r="1259" spans="10:11" x14ac:dyDescent="0.25">
      <c r="J1259" s="436"/>
      <c r="K1259" s="436"/>
    </row>
    <row r="1260" spans="10:11" x14ac:dyDescent="0.25">
      <c r="J1260" s="436"/>
      <c r="K1260" s="436"/>
    </row>
    <row r="1261" spans="10:11" x14ac:dyDescent="0.25">
      <c r="J1261" s="436"/>
      <c r="K1261" s="436"/>
    </row>
    <row r="1262" spans="10:11" x14ac:dyDescent="0.25">
      <c r="J1262" s="436"/>
      <c r="K1262" s="436"/>
    </row>
    <row r="1263" spans="10:11" x14ac:dyDescent="0.25">
      <c r="J1263" s="436"/>
      <c r="K1263" s="436"/>
    </row>
    <row r="1264" spans="10:11" x14ac:dyDescent="0.25">
      <c r="J1264" s="436"/>
      <c r="K1264" s="436"/>
    </row>
    <row r="1265" spans="10:11" x14ac:dyDescent="0.25">
      <c r="J1265" s="436"/>
      <c r="K1265" s="436"/>
    </row>
    <row r="1266" spans="10:11" x14ac:dyDescent="0.25">
      <c r="J1266" s="436"/>
      <c r="K1266" s="436"/>
    </row>
    <row r="1267" spans="10:11" x14ac:dyDescent="0.25">
      <c r="J1267" s="436"/>
      <c r="K1267" s="436"/>
    </row>
    <row r="1268" spans="10:11" x14ac:dyDescent="0.25">
      <c r="J1268" s="436"/>
      <c r="K1268" s="436"/>
    </row>
    <row r="1269" spans="10:11" x14ac:dyDescent="0.25">
      <c r="J1269" s="436"/>
      <c r="K1269" s="436"/>
    </row>
    <row r="1270" spans="10:11" x14ac:dyDescent="0.25">
      <c r="J1270" s="436"/>
      <c r="K1270" s="436"/>
    </row>
    <row r="1271" spans="10:11" x14ac:dyDescent="0.25">
      <c r="J1271" s="436"/>
      <c r="K1271" s="436"/>
    </row>
    <row r="1272" spans="10:11" x14ac:dyDescent="0.25">
      <c r="J1272" s="436"/>
      <c r="K1272" s="436"/>
    </row>
    <row r="1273" spans="10:11" x14ac:dyDescent="0.25">
      <c r="J1273" s="436"/>
      <c r="K1273" s="436"/>
    </row>
    <row r="1274" spans="10:11" x14ac:dyDescent="0.25">
      <c r="J1274" s="436"/>
      <c r="K1274" s="436"/>
    </row>
    <row r="1275" spans="10:11" x14ac:dyDescent="0.25">
      <c r="J1275" s="436"/>
      <c r="K1275" s="436"/>
    </row>
    <row r="1276" spans="10:11" x14ac:dyDescent="0.25">
      <c r="J1276" s="436"/>
      <c r="K1276" s="436"/>
    </row>
    <row r="1277" spans="10:11" x14ac:dyDescent="0.25">
      <c r="J1277" s="436"/>
      <c r="K1277" s="436"/>
    </row>
    <row r="1278" spans="10:11" x14ac:dyDescent="0.25">
      <c r="J1278" s="436"/>
      <c r="K1278" s="436"/>
    </row>
    <row r="1279" spans="10:11" x14ac:dyDescent="0.25">
      <c r="J1279" s="436"/>
      <c r="K1279" s="436"/>
    </row>
    <row r="1280" spans="10:11" x14ac:dyDescent="0.25">
      <c r="J1280" s="436"/>
      <c r="K1280" s="436"/>
    </row>
    <row r="1281" spans="10:11" x14ac:dyDescent="0.25">
      <c r="J1281" s="436"/>
      <c r="K1281" s="436"/>
    </row>
    <row r="1282" spans="10:11" x14ac:dyDescent="0.25">
      <c r="J1282" s="436"/>
      <c r="K1282" s="436"/>
    </row>
    <row r="1283" spans="10:11" x14ac:dyDescent="0.25">
      <c r="J1283" s="436"/>
      <c r="K1283" s="436"/>
    </row>
    <row r="1284" spans="10:11" x14ac:dyDescent="0.25">
      <c r="J1284" s="436"/>
      <c r="K1284" s="436"/>
    </row>
    <row r="1285" spans="10:11" x14ac:dyDescent="0.25">
      <c r="J1285" s="436"/>
      <c r="K1285" s="436"/>
    </row>
    <row r="1286" spans="10:11" x14ac:dyDescent="0.25">
      <c r="J1286" s="436"/>
      <c r="K1286" s="436"/>
    </row>
    <row r="1287" spans="10:11" x14ac:dyDescent="0.25">
      <c r="J1287" s="436"/>
      <c r="K1287" s="436"/>
    </row>
    <row r="1288" spans="10:11" x14ac:dyDescent="0.25">
      <c r="J1288" s="436"/>
      <c r="K1288" s="436"/>
    </row>
    <row r="1289" spans="10:11" x14ac:dyDescent="0.25">
      <c r="J1289" s="436"/>
      <c r="K1289" s="436"/>
    </row>
    <row r="1290" spans="10:11" x14ac:dyDescent="0.25">
      <c r="J1290" s="436"/>
      <c r="K1290" s="436"/>
    </row>
    <row r="1291" spans="10:11" x14ac:dyDescent="0.25">
      <c r="J1291" s="436"/>
      <c r="K1291" s="436"/>
    </row>
    <row r="1292" spans="10:11" x14ac:dyDescent="0.25">
      <c r="J1292" s="436"/>
      <c r="K1292" s="436"/>
    </row>
    <row r="1293" spans="10:11" x14ac:dyDescent="0.25">
      <c r="J1293" s="436"/>
      <c r="K1293" s="436"/>
    </row>
    <row r="1294" spans="10:11" x14ac:dyDescent="0.25">
      <c r="J1294" s="436"/>
      <c r="K1294" s="436"/>
    </row>
    <row r="1295" spans="10:11" x14ac:dyDescent="0.25">
      <c r="J1295" s="436"/>
      <c r="K1295" s="436"/>
    </row>
    <row r="1296" spans="10:11" x14ac:dyDescent="0.25">
      <c r="J1296" s="436"/>
      <c r="K1296" s="436"/>
    </row>
    <row r="1297" spans="10:11" x14ac:dyDescent="0.25">
      <c r="J1297" s="436"/>
      <c r="K1297" s="436"/>
    </row>
    <row r="1298" spans="10:11" x14ac:dyDescent="0.25">
      <c r="J1298" s="436"/>
      <c r="K1298" s="436"/>
    </row>
    <row r="1299" spans="10:11" x14ac:dyDescent="0.25">
      <c r="J1299" s="436"/>
      <c r="K1299" s="436"/>
    </row>
    <row r="1300" spans="10:11" x14ac:dyDescent="0.25">
      <c r="J1300" s="436"/>
      <c r="K1300" s="436"/>
    </row>
    <row r="1301" spans="10:11" x14ac:dyDescent="0.25">
      <c r="J1301" s="436"/>
      <c r="K1301" s="436"/>
    </row>
    <row r="1302" spans="10:11" x14ac:dyDescent="0.25">
      <c r="J1302" s="436"/>
      <c r="K1302" s="436"/>
    </row>
    <row r="1303" spans="10:11" x14ac:dyDescent="0.25">
      <c r="J1303" s="436"/>
      <c r="K1303" s="436"/>
    </row>
    <row r="1304" spans="10:11" x14ac:dyDescent="0.25">
      <c r="J1304" s="436"/>
      <c r="K1304" s="436"/>
    </row>
    <row r="1305" spans="10:11" x14ac:dyDescent="0.25">
      <c r="J1305" s="436"/>
      <c r="K1305" s="436"/>
    </row>
    <row r="1306" spans="10:11" x14ac:dyDescent="0.25">
      <c r="J1306" s="436"/>
      <c r="K1306" s="436"/>
    </row>
    <row r="1307" spans="10:11" x14ac:dyDescent="0.25">
      <c r="J1307" s="436"/>
      <c r="K1307" s="436"/>
    </row>
    <row r="1308" spans="10:11" x14ac:dyDescent="0.25">
      <c r="J1308" s="436"/>
      <c r="K1308" s="436"/>
    </row>
    <row r="1309" spans="10:11" x14ac:dyDescent="0.25">
      <c r="J1309" s="436"/>
      <c r="K1309" s="436"/>
    </row>
    <row r="1310" spans="10:11" x14ac:dyDescent="0.25">
      <c r="J1310" s="436"/>
      <c r="K1310" s="436"/>
    </row>
    <row r="1311" spans="10:11" x14ac:dyDescent="0.25">
      <c r="J1311" s="436"/>
      <c r="K1311" s="436"/>
    </row>
    <row r="1312" spans="10:11" x14ac:dyDescent="0.25">
      <c r="J1312" s="436"/>
      <c r="K1312" s="436"/>
    </row>
    <row r="1313" spans="10:11" x14ac:dyDescent="0.25">
      <c r="J1313" s="436"/>
      <c r="K1313" s="436"/>
    </row>
    <row r="1314" spans="10:11" x14ac:dyDescent="0.25">
      <c r="J1314" s="436"/>
      <c r="K1314" s="436"/>
    </row>
    <row r="1315" spans="10:11" x14ac:dyDescent="0.25">
      <c r="J1315" s="436"/>
      <c r="K1315" s="436"/>
    </row>
    <row r="1316" spans="10:11" x14ac:dyDescent="0.25">
      <c r="J1316" s="436"/>
      <c r="K1316" s="436"/>
    </row>
    <row r="1317" spans="10:11" x14ac:dyDescent="0.25">
      <c r="J1317" s="436"/>
      <c r="K1317" s="436"/>
    </row>
    <row r="1318" spans="10:11" x14ac:dyDescent="0.25">
      <c r="J1318" s="436"/>
      <c r="K1318" s="436"/>
    </row>
    <row r="1319" spans="10:11" x14ac:dyDescent="0.25">
      <c r="J1319" s="436"/>
      <c r="K1319" s="436"/>
    </row>
    <row r="1320" spans="10:11" x14ac:dyDescent="0.25">
      <c r="J1320" s="436"/>
      <c r="K1320" s="436"/>
    </row>
  </sheetData>
  <sheetProtection algorithmName="SHA-512" hashValue="iHdz4yPPe6onky871ZVJ21sHUPoOq21YOkNMbVIyxStUefMbKVwJxwm0Otr5HHFSKIaVZiLxl72mzezP5sOgHg==" saltValue="EoXQHJ8eUm0QWbfkTdXiUA==" spinCount="100000" sheet="1" pivotTables="0"/>
  <protectedRanges>
    <protectedRange sqref="H21:I21" name="Rango1"/>
    <protectedRange sqref="A22" name="Rango2"/>
    <protectedRange sqref="B14:B17" name="Rango3"/>
  </protectedRanges>
  <mergeCells count="52">
    <mergeCell ref="A146:G146"/>
    <mergeCell ref="B5:C5"/>
    <mergeCell ref="A1:A2"/>
    <mergeCell ref="B4:E4"/>
    <mergeCell ref="A124:B124"/>
    <mergeCell ref="B6:C6"/>
    <mergeCell ref="C7:D7"/>
    <mergeCell ref="A8:H8"/>
    <mergeCell ref="A10:H10"/>
    <mergeCell ref="A17:F17"/>
    <mergeCell ref="A19:L19"/>
    <mergeCell ref="A20:L20"/>
    <mergeCell ref="A21:G21"/>
    <mergeCell ref="A22:D22"/>
    <mergeCell ref="E22:I22"/>
    <mergeCell ref="A123:B123"/>
    <mergeCell ref="A139:K139"/>
    <mergeCell ref="A140:B140"/>
    <mergeCell ref="A141:B141"/>
    <mergeCell ref="A142:B142"/>
    <mergeCell ref="A144:B144"/>
    <mergeCell ref="A125:B125"/>
    <mergeCell ref="A127:L127"/>
    <mergeCell ref="A129:L129"/>
    <mergeCell ref="A132:F132"/>
    <mergeCell ref="G132:L132"/>
    <mergeCell ref="A159:F159"/>
    <mergeCell ref="A160:F160"/>
    <mergeCell ref="G161:J161"/>
    <mergeCell ref="A163:E164"/>
    <mergeCell ref="D148:I148"/>
    <mergeCell ref="G155:J155"/>
    <mergeCell ref="A156:F156"/>
    <mergeCell ref="G156:H156"/>
    <mergeCell ref="A157:F157"/>
    <mergeCell ref="A158:F158"/>
    <mergeCell ref="B1:K2"/>
    <mergeCell ref="A175:M175"/>
    <mergeCell ref="A176:E176"/>
    <mergeCell ref="F176:G176"/>
    <mergeCell ref="H176:J176"/>
    <mergeCell ref="K176:M176"/>
    <mergeCell ref="A168:M170"/>
    <mergeCell ref="A171:J171"/>
    <mergeCell ref="K171:M171"/>
    <mergeCell ref="A172:M172"/>
    <mergeCell ref="A173:E174"/>
    <mergeCell ref="F173:J174"/>
    <mergeCell ref="K173:M174"/>
    <mergeCell ref="A165:H165"/>
    <mergeCell ref="D152:I152"/>
    <mergeCell ref="A155:F155"/>
  </mergeCells>
  <conditionalFormatting sqref="A1:B1">
    <cfRule type="cellIs" dxfId="177" priority="1" operator="equal">
      <formula>"ERROR"</formula>
    </cfRule>
  </conditionalFormatting>
  <conditionalFormatting sqref="H164">
    <cfRule type="expression" dxfId="176" priority="13">
      <formula>$H$164="EFICAZ"</formula>
    </cfRule>
    <cfRule type="expression" dxfId="175" priority="14">
      <formula>$H$164="INEFICAZ"</formula>
    </cfRule>
  </conditionalFormatting>
  <conditionalFormatting sqref="J80:K80">
    <cfRule type="expression" dxfId="174" priority="15">
      <formula>$J$80="NO"</formula>
    </cfRule>
    <cfRule type="expression" dxfId="173" priority="16">
      <formula>$J$80="SI"</formula>
    </cfRule>
  </conditionalFormatting>
  <conditionalFormatting sqref="L1:L2">
    <cfRule type="cellIs" dxfId="172" priority="2" operator="equal">
      <formula>"INEXISTENTE"</formula>
    </cfRule>
    <cfRule type="cellIs" dxfId="171" priority="3" operator="equal">
      <formula>"INADECUADO"</formula>
    </cfRule>
    <cfRule type="cellIs" dxfId="170" priority="4" operator="equal">
      <formula>"PARCIALMENTE ADECUADO"</formula>
    </cfRule>
    <cfRule type="cellIs" dxfId="169" priority="5" operator="equal">
      <formula>"ADECUADO"</formula>
    </cfRule>
    <cfRule type="cellIs" dxfId="168" priority="6" operator="equal">
      <formula>"ERROR"</formula>
    </cfRule>
  </conditionalFormatting>
  <dataValidations count="3">
    <dataValidation type="list" allowBlank="1" showInputMessage="1" showErrorMessage="1" sqref="J24:J78 WVR983077:WVR983130 WLV983077:WLV983130 WBZ983077:WBZ983130 VSD983077:VSD983130 VIH983077:VIH983130 UYL983077:UYL983130 UOP983077:UOP983130 UET983077:UET983130 TUX983077:TUX983130 TLB983077:TLB983130 TBF983077:TBF983130 SRJ983077:SRJ983130 SHN983077:SHN983130 RXR983077:RXR983130 RNV983077:RNV983130 RDZ983077:RDZ983130 QUD983077:QUD983130 QKH983077:QKH983130 QAL983077:QAL983130 PQP983077:PQP983130 PGT983077:PGT983130 OWX983077:OWX983130 ONB983077:ONB983130 ODF983077:ODF983130 NTJ983077:NTJ983130 NJN983077:NJN983130 MZR983077:MZR983130 MPV983077:MPV983130 MFZ983077:MFZ983130 LWD983077:LWD983130 LMH983077:LMH983130 LCL983077:LCL983130 KSP983077:KSP983130 KIT983077:KIT983130 JYX983077:JYX983130 JPB983077:JPB983130 JFF983077:JFF983130 IVJ983077:IVJ983130 ILN983077:ILN983130 IBR983077:IBR983130 HRV983077:HRV983130 HHZ983077:HHZ983130 GYD983077:GYD983130 GOH983077:GOH983130 GEL983077:GEL983130 FUP983077:FUP983130 FKT983077:FKT983130 FAX983077:FAX983130 ERB983077:ERB983130 EHF983077:EHF983130 DXJ983077:DXJ983130 DNN983077:DNN983130 DDR983077:DDR983130 CTV983077:CTV983130 CJZ983077:CJZ983130 CAD983077:CAD983130 BQH983077:BQH983130 BGL983077:BGL983130 AWP983077:AWP983130 AMT983077:AMT983130 ACX983077:ACX983130 TB983077:TB983130 JF983077:JF983130 J983077:J983130 WVR917541:WVR917594 WLV917541:WLV917594 WBZ917541:WBZ917594 VSD917541:VSD917594 VIH917541:VIH917594 UYL917541:UYL917594 UOP917541:UOP917594 UET917541:UET917594 TUX917541:TUX917594 TLB917541:TLB917594 TBF917541:TBF917594 SRJ917541:SRJ917594 SHN917541:SHN917594 RXR917541:RXR917594 RNV917541:RNV917594 RDZ917541:RDZ917594 QUD917541:QUD917594 QKH917541:QKH917594 QAL917541:QAL917594 PQP917541:PQP917594 PGT917541:PGT917594 OWX917541:OWX917594 ONB917541:ONB917594 ODF917541:ODF917594 NTJ917541:NTJ917594 NJN917541:NJN917594 MZR917541:MZR917594 MPV917541:MPV917594 MFZ917541:MFZ917594 LWD917541:LWD917594 LMH917541:LMH917594 LCL917541:LCL917594 KSP917541:KSP917594 KIT917541:KIT917594 JYX917541:JYX917594 JPB917541:JPB917594 JFF917541:JFF917594 IVJ917541:IVJ917594 ILN917541:ILN917594 IBR917541:IBR917594 HRV917541:HRV917594 HHZ917541:HHZ917594 GYD917541:GYD917594 GOH917541:GOH917594 GEL917541:GEL917594 FUP917541:FUP917594 FKT917541:FKT917594 FAX917541:FAX917594 ERB917541:ERB917594 EHF917541:EHF917594 DXJ917541:DXJ917594 DNN917541:DNN917594 DDR917541:DDR917594 CTV917541:CTV917594 CJZ917541:CJZ917594 CAD917541:CAD917594 BQH917541:BQH917594 BGL917541:BGL917594 AWP917541:AWP917594 AMT917541:AMT917594 ACX917541:ACX917594 TB917541:TB917594 JF917541:JF917594 J917541:J917594 WVR852005:WVR852058 WLV852005:WLV852058 WBZ852005:WBZ852058 VSD852005:VSD852058 VIH852005:VIH852058 UYL852005:UYL852058 UOP852005:UOP852058 UET852005:UET852058 TUX852005:TUX852058 TLB852005:TLB852058 TBF852005:TBF852058 SRJ852005:SRJ852058 SHN852005:SHN852058 RXR852005:RXR852058 RNV852005:RNV852058 RDZ852005:RDZ852058 QUD852005:QUD852058 QKH852005:QKH852058 QAL852005:QAL852058 PQP852005:PQP852058 PGT852005:PGT852058 OWX852005:OWX852058 ONB852005:ONB852058 ODF852005:ODF852058 NTJ852005:NTJ852058 NJN852005:NJN852058 MZR852005:MZR852058 MPV852005:MPV852058 MFZ852005:MFZ852058 LWD852005:LWD852058 LMH852005:LMH852058 LCL852005:LCL852058 KSP852005:KSP852058 KIT852005:KIT852058 JYX852005:JYX852058 JPB852005:JPB852058 JFF852005:JFF852058 IVJ852005:IVJ852058 ILN852005:ILN852058 IBR852005:IBR852058 HRV852005:HRV852058 HHZ852005:HHZ852058 GYD852005:GYD852058 GOH852005:GOH852058 GEL852005:GEL852058 FUP852005:FUP852058 FKT852005:FKT852058 FAX852005:FAX852058 ERB852005:ERB852058 EHF852005:EHF852058 DXJ852005:DXJ852058 DNN852005:DNN852058 DDR852005:DDR852058 CTV852005:CTV852058 CJZ852005:CJZ852058 CAD852005:CAD852058 BQH852005:BQH852058 BGL852005:BGL852058 AWP852005:AWP852058 AMT852005:AMT852058 ACX852005:ACX852058 TB852005:TB852058 JF852005:JF852058 J852005:J852058 WVR786469:WVR786522 WLV786469:WLV786522 WBZ786469:WBZ786522 VSD786469:VSD786522 VIH786469:VIH786522 UYL786469:UYL786522 UOP786469:UOP786522 UET786469:UET786522 TUX786469:TUX786522 TLB786469:TLB786522 TBF786469:TBF786522 SRJ786469:SRJ786522 SHN786469:SHN786522 RXR786469:RXR786522 RNV786469:RNV786522 RDZ786469:RDZ786522 QUD786469:QUD786522 QKH786469:QKH786522 QAL786469:QAL786522 PQP786469:PQP786522 PGT786469:PGT786522 OWX786469:OWX786522 ONB786469:ONB786522 ODF786469:ODF786522 NTJ786469:NTJ786522 NJN786469:NJN786522 MZR786469:MZR786522 MPV786469:MPV786522 MFZ786469:MFZ786522 LWD786469:LWD786522 LMH786469:LMH786522 LCL786469:LCL786522 KSP786469:KSP786522 KIT786469:KIT786522 JYX786469:JYX786522 JPB786469:JPB786522 JFF786469:JFF786522 IVJ786469:IVJ786522 ILN786469:ILN786522 IBR786469:IBR786522 HRV786469:HRV786522 HHZ786469:HHZ786522 GYD786469:GYD786522 GOH786469:GOH786522 GEL786469:GEL786522 FUP786469:FUP786522 FKT786469:FKT786522 FAX786469:FAX786522 ERB786469:ERB786522 EHF786469:EHF786522 DXJ786469:DXJ786522 DNN786469:DNN786522 DDR786469:DDR786522 CTV786469:CTV786522 CJZ786469:CJZ786522 CAD786469:CAD786522 BQH786469:BQH786522 BGL786469:BGL786522 AWP786469:AWP786522 AMT786469:AMT786522 ACX786469:ACX786522 TB786469:TB786522 JF786469:JF786522 J786469:J786522 WVR720933:WVR720986 WLV720933:WLV720986 WBZ720933:WBZ720986 VSD720933:VSD720986 VIH720933:VIH720986 UYL720933:UYL720986 UOP720933:UOP720986 UET720933:UET720986 TUX720933:TUX720986 TLB720933:TLB720986 TBF720933:TBF720986 SRJ720933:SRJ720986 SHN720933:SHN720986 RXR720933:RXR720986 RNV720933:RNV720986 RDZ720933:RDZ720986 QUD720933:QUD720986 QKH720933:QKH720986 QAL720933:QAL720986 PQP720933:PQP720986 PGT720933:PGT720986 OWX720933:OWX720986 ONB720933:ONB720986 ODF720933:ODF720986 NTJ720933:NTJ720986 NJN720933:NJN720986 MZR720933:MZR720986 MPV720933:MPV720986 MFZ720933:MFZ720986 LWD720933:LWD720986 LMH720933:LMH720986 LCL720933:LCL720986 KSP720933:KSP720986 KIT720933:KIT720986 JYX720933:JYX720986 JPB720933:JPB720986 JFF720933:JFF720986 IVJ720933:IVJ720986 ILN720933:ILN720986 IBR720933:IBR720986 HRV720933:HRV720986 HHZ720933:HHZ720986 GYD720933:GYD720986 GOH720933:GOH720986 GEL720933:GEL720986 FUP720933:FUP720986 FKT720933:FKT720986 FAX720933:FAX720986 ERB720933:ERB720986 EHF720933:EHF720986 DXJ720933:DXJ720986 DNN720933:DNN720986 DDR720933:DDR720986 CTV720933:CTV720986 CJZ720933:CJZ720986 CAD720933:CAD720986 BQH720933:BQH720986 BGL720933:BGL720986 AWP720933:AWP720986 AMT720933:AMT720986 ACX720933:ACX720986 TB720933:TB720986 JF720933:JF720986 J720933:J720986 WVR655397:WVR655450 WLV655397:WLV655450 WBZ655397:WBZ655450 VSD655397:VSD655450 VIH655397:VIH655450 UYL655397:UYL655450 UOP655397:UOP655450 UET655397:UET655450 TUX655397:TUX655450 TLB655397:TLB655450 TBF655397:TBF655450 SRJ655397:SRJ655450 SHN655397:SHN655450 RXR655397:RXR655450 RNV655397:RNV655450 RDZ655397:RDZ655450 QUD655397:QUD655450 QKH655397:QKH655450 QAL655397:QAL655450 PQP655397:PQP655450 PGT655397:PGT655450 OWX655397:OWX655450 ONB655397:ONB655450 ODF655397:ODF655450 NTJ655397:NTJ655450 NJN655397:NJN655450 MZR655397:MZR655450 MPV655397:MPV655450 MFZ655397:MFZ655450 LWD655397:LWD655450 LMH655397:LMH655450 LCL655397:LCL655450 KSP655397:KSP655450 KIT655397:KIT655450 JYX655397:JYX655450 JPB655397:JPB655450 JFF655397:JFF655450 IVJ655397:IVJ655450 ILN655397:ILN655450 IBR655397:IBR655450 HRV655397:HRV655450 HHZ655397:HHZ655450 GYD655397:GYD655450 GOH655397:GOH655450 GEL655397:GEL655450 FUP655397:FUP655450 FKT655397:FKT655450 FAX655397:FAX655450 ERB655397:ERB655450 EHF655397:EHF655450 DXJ655397:DXJ655450 DNN655397:DNN655450 DDR655397:DDR655450 CTV655397:CTV655450 CJZ655397:CJZ655450 CAD655397:CAD655450 BQH655397:BQH655450 BGL655397:BGL655450 AWP655397:AWP655450 AMT655397:AMT655450 ACX655397:ACX655450 TB655397:TB655450 JF655397:JF655450 J655397:J655450 WVR589861:WVR589914 WLV589861:WLV589914 WBZ589861:WBZ589914 VSD589861:VSD589914 VIH589861:VIH589914 UYL589861:UYL589914 UOP589861:UOP589914 UET589861:UET589914 TUX589861:TUX589914 TLB589861:TLB589914 TBF589861:TBF589914 SRJ589861:SRJ589914 SHN589861:SHN589914 RXR589861:RXR589914 RNV589861:RNV589914 RDZ589861:RDZ589914 QUD589861:QUD589914 QKH589861:QKH589914 QAL589861:QAL589914 PQP589861:PQP589914 PGT589861:PGT589914 OWX589861:OWX589914 ONB589861:ONB589914 ODF589861:ODF589914 NTJ589861:NTJ589914 NJN589861:NJN589914 MZR589861:MZR589914 MPV589861:MPV589914 MFZ589861:MFZ589914 LWD589861:LWD589914 LMH589861:LMH589914 LCL589861:LCL589914 KSP589861:KSP589914 KIT589861:KIT589914 JYX589861:JYX589914 JPB589861:JPB589914 JFF589861:JFF589914 IVJ589861:IVJ589914 ILN589861:ILN589914 IBR589861:IBR589914 HRV589861:HRV589914 HHZ589861:HHZ589914 GYD589861:GYD589914 GOH589861:GOH589914 GEL589861:GEL589914 FUP589861:FUP589914 FKT589861:FKT589914 FAX589861:FAX589914 ERB589861:ERB589914 EHF589861:EHF589914 DXJ589861:DXJ589914 DNN589861:DNN589914 DDR589861:DDR589914 CTV589861:CTV589914 CJZ589861:CJZ589914 CAD589861:CAD589914 BQH589861:BQH589914 BGL589861:BGL589914 AWP589861:AWP589914 AMT589861:AMT589914 ACX589861:ACX589914 TB589861:TB589914 JF589861:JF589914 J589861:J589914 WVR524325:WVR524378 WLV524325:WLV524378 WBZ524325:WBZ524378 VSD524325:VSD524378 VIH524325:VIH524378 UYL524325:UYL524378 UOP524325:UOP524378 UET524325:UET524378 TUX524325:TUX524378 TLB524325:TLB524378 TBF524325:TBF524378 SRJ524325:SRJ524378 SHN524325:SHN524378 RXR524325:RXR524378 RNV524325:RNV524378 RDZ524325:RDZ524378 QUD524325:QUD524378 QKH524325:QKH524378 QAL524325:QAL524378 PQP524325:PQP524378 PGT524325:PGT524378 OWX524325:OWX524378 ONB524325:ONB524378 ODF524325:ODF524378 NTJ524325:NTJ524378 NJN524325:NJN524378 MZR524325:MZR524378 MPV524325:MPV524378 MFZ524325:MFZ524378 LWD524325:LWD524378 LMH524325:LMH524378 LCL524325:LCL524378 KSP524325:KSP524378 KIT524325:KIT524378 JYX524325:JYX524378 JPB524325:JPB524378 JFF524325:JFF524378 IVJ524325:IVJ524378 ILN524325:ILN524378 IBR524325:IBR524378 HRV524325:HRV524378 HHZ524325:HHZ524378 GYD524325:GYD524378 GOH524325:GOH524378 GEL524325:GEL524378 FUP524325:FUP524378 FKT524325:FKT524378 FAX524325:FAX524378 ERB524325:ERB524378 EHF524325:EHF524378 DXJ524325:DXJ524378 DNN524325:DNN524378 DDR524325:DDR524378 CTV524325:CTV524378 CJZ524325:CJZ524378 CAD524325:CAD524378 BQH524325:BQH524378 BGL524325:BGL524378 AWP524325:AWP524378 AMT524325:AMT524378 ACX524325:ACX524378 TB524325:TB524378 JF524325:JF524378 J524325:J524378 WVR458789:WVR458842 WLV458789:WLV458842 WBZ458789:WBZ458842 VSD458789:VSD458842 VIH458789:VIH458842 UYL458789:UYL458842 UOP458789:UOP458842 UET458789:UET458842 TUX458789:TUX458842 TLB458789:TLB458842 TBF458789:TBF458842 SRJ458789:SRJ458842 SHN458789:SHN458842 RXR458789:RXR458842 RNV458789:RNV458842 RDZ458789:RDZ458842 QUD458789:QUD458842 QKH458789:QKH458842 QAL458789:QAL458842 PQP458789:PQP458842 PGT458789:PGT458842 OWX458789:OWX458842 ONB458789:ONB458842 ODF458789:ODF458842 NTJ458789:NTJ458842 NJN458789:NJN458842 MZR458789:MZR458842 MPV458789:MPV458842 MFZ458789:MFZ458842 LWD458789:LWD458842 LMH458789:LMH458842 LCL458789:LCL458842 KSP458789:KSP458842 KIT458789:KIT458842 JYX458789:JYX458842 JPB458789:JPB458842 JFF458789:JFF458842 IVJ458789:IVJ458842 ILN458789:ILN458842 IBR458789:IBR458842 HRV458789:HRV458842 HHZ458789:HHZ458842 GYD458789:GYD458842 GOH458789:GOH458842 GEL458789:GEL458842 FUP458789:FUP458842 FKT458789:FKT458842 FAX458789:FAX458842 ERB458789:ERB458842 EHF458789:EHF458842 DXJ458789:DXJ458842 DNN458789:DNN458842 DDR458789:DDR458842 CTV458789:CTV458842 CJZ458789:CJZ458842 CAD458789:CAD458842 BQH458789:BQH458842 BGL458789:BGL458842 AWP458789:AWP458842 AMT458789:AMT458842 ACX458789:ACX458842 TB458789:TB458842 JF458789:JF458842 J458789:J458842 WVR393253:WVR393306 WLV393253:WLV393306 WBZ393253:WBZ393306 VSD393253:VSD393306 VIH393253:VIH393306 UYL393253:UYL393306 UOP393253:UOP393306 UET393253:UET393306 TUX393253:TUX393306 TLB393253:TLB393306 TBF393253:TBF393306 SRJ393253:SRJ393306 SHN393253:SHN393306 RXR393253:RXR393306 RNV393253:RNV393306 RDZ393253:RDZ393306 QUD393253:QUD393306 QKH393253:QKH393306 QAL393253:QAL393306 PQP393253:PQP393306 PGT393253:PGT393306 OWX393253:OWX393306 ONB393253:ONB393306 ODF393253:ODF393306 NTJ393253:NTJ393306 NJN393253:NJN393306 MZR393253:MZR393306 MPV393253:MPV393306 MFZ393253:MFZ393306 LWD393253:LWD393306 LMH393253:LMH393306 LCL393253:LCL393306 KSP393253:KSP393306 KIT393253:KIT393306 JYX393253:JYX393306 JPB393253:JPB393306 JFF393253:JFF393306 IVJ393253:IVJ393306 ILN393253:ILN393306 IBR393253:IBR393306 HRV393253:HRV393306 HHZ393253:HHZ393306 GYD393253:GYD393306 GOH393253:GOH393306 GEL393253:GEL393306 FUP393253:FUP393306 FKT393253:FKT393306 FAX393253:FAX393306 ERB393253:ERB393306 EHF393253:EHF393306 DXJ393253:DXJ393306 DNN393253:DNN393306 DDR393253:DDR393306 CTV393253:CTV393306 CJZ393253:CJZ393306 CAD393253:CAD393306 BQH393253:BQH393306 BGL393253:BGL393306 AWP393253:AWP393306 AMT393253:AMT393306 ACX393253:ACX393306 TB393253:TB393306 JF393253:JF393306 J393253:J393306 WVR327717:WVR327770 WLV327717:WLV327770 WBZ327717:WBZ327770 VSD327717:VSD327770 VIH327717:VIH327770 UYL327717:UYL327770 UOP327717:UOP327770 UET327717:UET327770 TUX327717:TUX327770 TLB327717:TLB327770 TBF327717:TBF327770 SRJ327717:SRJ327770 SHN327717:SHN327770 RXR327717:RXR327770 RNV327717:RNV327770 RDZ327717:RDZ327770 QUD327717:QUD327770 QKH327717:QKH327770 QAL327717:QAL327770 PQP327717:PQP327770 PGT327717:PGT327770 OWX327717:OWX327770 ONB327717:ONB327770 ODF327717:ODF327770 NTJ327717:NTJ327770 NJN327717:NJN327770 MZR327717:MZR327770 MPV327717:MPV327770 MFZ327717:MFZ327770 LWD327717:LWD327770 LMH327717:LMH327770 LCL327717:LCL327770 KSP327717:KSP327770 KIT327717:KIT327770 JYX327717:JYX327770 JPB327717:JPB327770 JFF327717:JFF327770 IVJ327717:IVJ327770 ILN327717:ILN327770 IBR327717:IBR327770 HRV327717:HRV327770 HHZ327717:HHZ327770 GYD327717:GYD327770 GOH327717:GOH327770 GEL327717:GEL327770 FUP327717:FUP327770 FKT327717:FKT327770 FAX327717:FAX327770 ERB327717:ERB327770 EHF327717:EHF327770 DXJ327717:DXJ327770 DNN327717:DNN327770 DDR327717:DDR327770 CTV327717:CTV327770 CJZ327717:CJZ327770 CAD327717:CAD327770 BQH327717:BQH327770 BGL327717:BGL327770 AWP327717:AWP327770 AMT327717:AMT327770 ACX327717:ACX327770 TB327717:TB327770 JF327717:JF327770 J327717:J327770 WVR262181:WVR262234 WLV262181:WLV262234 WBZ262181:WBZ262234 VSD262181:VSD262234 VIH262181:VIH262234 UYL262181:UYL262234 UOP262181:UOP262234 UET262181:UET262234 TUX262181:TUX262234 TLB262181:TLB262234 TBF262181:TBF262234 SRJ262181:SRJ262234 SHN262181:SHN262234 RXR262181:RXR262234 RNV262181:RNV262234 RDZ262181:RDZ262234 QUD262181:QUD262234 QKH262181:QKH262234 QAL262181:QAL262234 PQP262181:PQP262234 PGT262181:PGT262234 OWX262181:OWX262234 ONB262181:ONB262234 ODF262181:ODF262234 NTJ262181:NTJ262234 NJN262181:NJN262234 MZR262181:MZR262234 MPV262181:MPV262234 MFZ262181:MFZ262234 LWD262181:LWD262234 LMH262181:LMH262234 LCL262181:LCL262234 KSP262181:KSP262234 KIT262181:KIT262234 JYX262181:JYX262234 JPB262181:JPB262234 JFF262181:JFF262234 IVJ262181:IVJ262234 ILN262181:ILN262234 IBR262181:IBR262234 HRV262181:HRV262234 HHZ262181:HHZ262234 GYD262181:GYD262234 GOH262181:GOH262234 GEL262181:GEL262234 FUP262181:FUP262234 FKT262181:FKT262234 FAX262181:FAX262234 ERB262181:ERB262234 EHF262181:EHF262234 DXJ262181:DXJ262234 DNN262181:DNN262234 DDR262181:DDR262234 CTV262181:CTV262234 CJZ262181:CJZ262234 CAD262181:CAD262234 BQH262181:BQH262234 BGL262181:BGL262234 AWP262181:AWP262234 AMT262181:AMT262234 ACX262181:ACX262234 TB262181:TB262234 JF262181:JF262234 J262181:J262234 WVR196645:WVR196698 WLV196645:WLV196698 WBZ196645:WBZ196698 VSD196645:VSD196698 VIH196645:VIH196698 UYL196645:UYL196698 UOP196645:UOP196698 UET196645:UET196698 TUX196645:TUX196698 TLB196645:TLB196698 TBF196645:TBF196698 SRJ196645:SRJ196698 SHN196645:SHN196698 RXR196645:RXR196698 RNV196645:RNV196698 RDZ196645:RDZ196698 QUD196645:QUD196698 QKH196645:QKH196698 QAL196645:QAL196698 PQP196645:PQP196698 PGT196645:PGT196698 OWX196645:OWX196698 ONB196645:ONB196698 ODF196645:ODF196698 NTJ196645:NTJ196698 NJN196645:NJN196698 MZR196645:MZR196698 MPV196645:MPV196698 MFZ196645:MFZ196698 LWD196645:LWD196698 LMH196645:LMH196698 LCL196645:LCL196698 KSP196645:KSP196698 KIT196645:KIT196698 JYX196645:JYX196698 JPB196645:JPB196698 JFF196645:JFF196698 IVJ196645:IVJ196698 ILN196645:ILN196698 IBR196645:IBR196698 HRV196645:HRV196698 HHZ196645:HHZ196698 GYD196645:GYD196698 GOH196645:GOH196698 GEL196645:GEL196698 FUP196645:FUP196698 FKT196645:FKT196698 FAX196645:FAX196698 ERB196645:ERB196698 EHF196645:EHF196698 DXJ196645:DXJ196698 DNN196645:DNN196698 DDR196645:DDR196698 CTV196645:CTV196698 CJZ196645:CJZ196698 CAD196645:CAD196698 BQH196645:BQH196698 BGL196645:BGL196698 AWP196645:AWP196698 AMT196645:AMT196698 ACX196645:ACX196698 TB196645:TB196698 JF196645:JF196698 J196645:J196698 WVR131109:WVR131162 WLV131109:WLV131162 WBZ131109:WBZ131162 VSD131109:VSD131162 VIH131109:VIH131162 UYL131109:UYL131162 UOP131109:UOP131162 UET131109:UET131162 TUX131109:TUX131162 TLB131109:TLB131162 TBF131109:TBF131162 SRJ131109:SRJ131162 SHN131109:SHN131162 RXR131109:RXR131162 RNV131109:RNV131162 RDZ131109:RDZ131162 QUD131109:QUD131162 QKH131109:QKH131162 QAL131109:QAL131162 PQP131109:PQP131162 PGT131109:PGT131162 OWX131109:OWX131162 ONB131109:ONB131162 ODF131109:ODF131162 NTJ131109:NTJ131162 NJN131109:NJN131162 MZR131109:MZR131162 MPV131109:MPV131162 MFZ131109:MFZ131162 LWD131109:LWD131162 LMH131109:LMH131162 LCL131109:LCL131162 KSP131109:KSP131162 KIT131109:KIT131162 JYX131109:JYX131162 JPB131109:JPB131162 JFF131109:JFF131162 IVJ131109:IVJ131162 ILN131109:ILN131162 IBR131109:IBR131162 HRV131109:HRV131162 HHZ131109:HHZ131162 GYD131109:GYD131162 GOH131109:GOH131162 GEL131109:GEL131162 FUP131109:FUP131162 FKT131109:FKT131162 FAX131109:FAX131162 ERB131109:ERB131162 EHF131109:EHF131162 DXJ131109:DXJ131162 DNN131109:DNN131162 DDR131109:DDR131162 CTV131109:CTV131162 CJZ131109:CJZ131162 CAD131109:CAD131162 BQH131109:BQH131162 BGL131109:BGL131162 AWP131109:AWP131162 AMT131109:AMT131162 ACX131109:ACX131162 TB131109:TB131162 JF131109:JF131162 J131109:J131162 WVR65573:WVR65626 WLV65573:WLV65626 WBZ65573:WBZ65626 VSD65573:VSD65626 VIH65573:VIH65626 UYL65573:UYL65626 UOP65573:UOP65626 UET65573:UET65626 TUX65573:TUX65626 TLB65573:TLB65626 TBF65573:TBF65626 SRJ65573:SRJ65626 SHN65573:SHN65626 RXR65573:RXR65626 RNV65573:RNV65626 RDZ65573:RDZ65626 QUD65573:QUD65626 QKH65573:QKH65626 QAL65573:QAL65626 PQP65573:PQP65626 PGT65573:PGT65626 OWX65573:OWX65626 ONB65573:ONB65626 ODF65573:ODF65626 NTJ65573:NTJ65626 NJN65573:NJN65626 MZR65573:MZR65626 MPV65573:MPV65626 MFZ65573:MFZ65626 LWD65573:LWD65626 LMH65573:LMH65626 LCL65573:LCL65626 KSP65573:KSP65626 KIT65573:KIT65626 JYX65573:JYX65626 JPB65573:JPB65626 JFF65573:JFF65626 IVJ65573:IVJ65626 ILN65573:ILN65626 IBR65573:IBR65626 HRV65573:HRV65626 HHZ65573:HHZ65626 GYD65573:GYD65626 GOH65573:GOH65626 GEL65573:GEL65626 FUP65573:FUP65626 FKT65573:FKT65626 FAX65573:FAX65626 ERB65573:ERB65626 EHF65573:EHF65626 DXJ65573:DXJ65626 DNN65573:DNN65626 DDR65573:DDR65626 CTV65573:CTV65626 CJZ65573:CJZ65626 CAD65573:CAD65626 BQH65573:BQH65626 BGL65573:BGL65626 AWP65573:AWP65626 AMT65573:AMT65626 ACX65573:ACX65626 TB65573:TB65626 JF65573:JF65626 J65573:J65626 WVR24:WVR78 WLV24:WLV78 WBZ24:WBZ78 VSD24:VSD78 VIH24:VIH78 UYL24:UYL78 UOP24:UOP78 UET24:UET78 TUX24:TUX78 TLB24:TLB78 TBF24:TBF78 SRJ24:SRJ78 SHN24:SHN78 RXR24:RXR78 RNV24:RNV78 RDZ24:RDZ78 QUD24:QUD78 QKH24:QKH78 QAL24:QAL78 PQP24:PQP78 PGT24:PGT78 OWX24:OWX78 ONB24:ONB78 ODF24:ODF78 NTJ24:NTJ78 NJN24:NJN78 MZR24:MZR78 MPV24:MPV78 MFZ24:MFZ78 LWD24:LWD78 LMH24:LMH78 LCL24:LCL78 KSP24:KSP78 KIT24:KIT78 JYX24:JYX78 JPB24:JPB78 JFF24:JFF78 IVJ24:IVJ78 ILN24:ILN78 IBR24:IBR78 HRV24:HRV78 HHZ24:HHZ78 GYD24:GYD78 GOH24:GOH78 GEL24:GEL78 FUP24:FUP78 FKT24:FKT78 FAX24:FAX78 ERB24:ERB78 EHF24:EHF78 DXJ24:DXJ78 DNN24:DNN78 DDR24:DDR78 CTV24:CTV78 CJZ24:CJZ78 CAD24:CAD78 BQH24:BQH78 BGL24:BGL78 AWP24:AWP78 AMT24:AMT78 ACX24:ACX78 TB24:TB78 JF24:JF78" xr:uid="{00000000-0002-0000-0700-000000000000}">
      <formula1>$A$195:$A$198</formula1>
    </dataValidation>
    <dataValidation type="list" allowBlank="1" showInputMessage="1" showErrorMessage="1" sqref="J83:J121 WVR983135:WVR983173 WLV983135:WLV983173 WBZ983135:WBZ983173 VSD983135:VSD983173 VIH983135:VIH983173 UYL983135:UYL983173 UOP983135:UOP983173 UET983135:UET983173 TUX983135:TUX983173 TLB983135:TLB983173 TBF983135:TBF983173 SRJ983135:SRJ983173 SHN983135:SHN983173 RXR983135:RXR983173 RNV983135:RNV983173 RDZ983135:RDZ983173 QUD983135:QUD983173 QKH983135:QKH983173 QAL983135:QAL983173 PQP983135:PQP983173 PGT983135:PGT983173 OWX983135:OWX983173 ONB983135:ONB983173 ODF983135:ODF983173 NTJ983135:NTJ983173 NJN983135:NJN983173 MZR983135:MZR983173 MPV983135:MPV983173 MFZ983135:MFZ983173 LWD983135:LWD983173 LMH983135:LMH983173 LCL983135:LCL983173 KSP983135:KSP983173 KIT983135:KIT983173 JYX983135:JYX983173 JPB983135:JPB983173 JFF983135:JFF983173 IVJ983135:IVJ983173 ILN983135:ILN983173 IBR983135:IBR983173 HRV983135:HRV983173 HHZ983135:HHZ983173 GYD983135:GYD983173 GOH983135:GOH983173 GEL983135:GEL983173 FUP983135:FUP983173 FKT983135:FKT983173 FAX983135:FAX983173 ERB983135:ERB983173 EHF983135:EHF983173 DXJ983135:DXJ983173 DNN983135:DNN983173 DDR983135:DDR983173 CTV983135:CTV983173 CJZ983135:CJZ983173 CAD983135:CAD983173 BQH983135:BQH983173 BGL983135:BGL983173 AWP983135:AWP983173 AMT983135:AMT983173 ACX983135:ACX983173 TB983135:TB983173 JF983135:JF983173 J983135:J983173 WVR917599:WVR917637 WLV917599:WLV917637 WBZ917599:WBZ917637 VSD917599:VSD917637 VIH917599:VIH917637 UYL917599:UYL917637 UOP917599:UOP917637 UET917599:UET917637 TUX917599:TUX917637 TLB917599:TLB917637 TBF917599:TBF917637 SRJ917599:SRJ917637 SHN917599:SHN917637 RXR917599:RXR917637 RNV917599:RNV917637 RDZ917599:RDZ917637 QUD917599:QUD917637 QKH917599:QKH917637 QAL917599:QAL917637 PQP917599:PQP917637 PGT917599:PGT917637 OWX917599:OWX917637 ONB917599:ONB917637 ODF917599:ODF917637 NTJ917599:NTJ917637 NJN917599:NJN917637 MZR917599:MZR917637 MPV917599:MPV917637 MFZ917599:MFZ917637 LWD917599:LWD917637 LMH917599:LMH917637 LCL917599:LCL917637 KSP917599:KSP917637 KIT917599:KIT917637 JYX917599:JYX917637 JPB917599:JPB917637 JFF917599:JFF917637 IVJ917599:IVJ917637 ILN917599:ILN917637 IBR917599:IBR917637 HRV917599:HRV917637 HHZ917599:HHZ917637 GYD917599:GYD917637 GOH917599:GOH917637 GEL917599:GEL917637 FUP917599:FUP917637 FKT917599:FKT917637 FAX917599:FAX917637 ERB917599:ERB917637 EHF917599:EHF917637 DXJ917599:DXJ917637 DNN917599:DNN917637 DDR917599:DDR917637 CTV917599:CTV917637 CJZ917599:CJZ917637 CAD917599:CAD917637 BQH917599:BQH917637 BGL917599:BGL917637 AWP917599:AWP917637 AMT917599:AMT917637 ACX917599:ACX917637 TB917599:TB917637 JF917599:JF917637 J917599:J917637 WVR852063:WVR852101 WLV852063:WLV852101 WBZ852063:WBZ852101 VSD852063:VSD852101 VIH852063:VIH852101 UYL852063:UYL852101 UOP852063:UOP852101 UET852063:UET852101 TUX852063:TUX852101 TLB852063:TLB852101 TBF852063:TBF852101 SRJ852063:SRJ852101 SHN852063:SHN852101 RXR852063:RXR852101 RNV852063:RNV852101 RDZ852063:RDZ852101 QUD852063:QUD852101 QKH852063:QKH852101 QAL852063:QAL852101 PQP852063:PQP852101 PGT852063:PGT852101 OWX852063:OWX852101 ONB852063:ONB852101 ODF852063:ODF852101 NTJ852063:NTJ852101 NJN852063:NJN852101 MZR852063:MZR852101 MPV852063:MPV852101 MFZ852063:MFZ852101 LWD852063:LWD852101 LMH852063:LMH852101 LCL852063:LCL852101 KSP852063:KSP852101 KIT852063:KIT852101 JYX852063:JYX852101 JPB852063:JPB852101 JFF852063:JFF852101 IVJ852063:IVJ852101 ILN852063:ILN852101 IBR852063:IBR852101 HRV852063:HRV852101 HHZ852063:HHZ852101 GYD852063:GYD852101 GOH852063:GOH852101 GEL852063:GEL852101 FUP852063:FUP852101 FKT852063:FKT852101 FAX852063:FAX852101 ERB852063:ERB852101 EHF852063:EHF852101 DXJ852063:DXJ852101 DNN852063:DNN852101 DDR852063:DDR852101 CTV852063:CTV852101 CJZ852063:CJZ852101 CAD852063:CAD852101 BQH852063:BQH852101 BGL852063:BGL852101 AWP852063:AWP852101 AMT852063:AMT852101 ACX852063:ACX852101 TB852063:TB852101 JF852063:JF852101 J852063:J852101 WVR786527:WVR786565 WLV786527:WLV786565 WBZ786527:WBZ786565 VSD786527:VSD786565 VIH786527:VIH786565 UYL786527:UYL786565 UOP786527:UOP786565 UET786527:UET786565 TUX786527:TUX786565 TLB786527:TLB786565 TBF786527:TBF786565 SRJ786527:SRJ786565 SHN786527:SHN786565 RXR786527:RXR786565 RNV786527:RNV786565 RDZ786527:RDZ786565 QUD786527:QUD786565 QKH786527:QKH786565 QAL786527:QAL786565 PQP786527:PQP786565 PGT786527:PGT786565 OWX786527:OWX786565 ONB786527:ONB786565 ODF786527:ODF786565 NTJ786527:NTJ786565 NJN786527:NJN786565 MZR786527:MZR786565 MPV786527:MPV786565 MFZ786527:MFZ786565 LWD786527:LWD786565 LMH786527:LMH786565 LCL786527:LCL786565 KSP786527:KSP786565 KIT786527:KIT786565 JYX786527:JYX786565 JPB786527:JPB786565 JFF786527:JFF786565 IVJ786527:IVJ786565 ILN786527:ILN786565 IBR786527:IBR786565 HRV786527:HRV786565 HHZ786527:HHZ786565 GYD786527:GYD786565 GOH786527:GOH786565 GEL786527:GEL786565 FUP786527:FUP786565 FKT786527:FKT786565 FAX786527:FAX786565 ERB786527:ERB786565 EHF786527:EHF786565 DXJ786527:DXJ786565 DNN786527:DNN786565 DDR786527:DDR786565 CTV786527:CTV786565 CJZ786527:CJZ786565 CAD786527:CAD786565 BQH786527:BQH786565 BGL786527:BGL786565 AWP786527:AWP786565 AMT786527:AMT786565 ACX786527:ACX786565 TB786527:TB786565 JF786527:JF786565 J786527:J786565 WVR720991:WVR721029 WLV720991:WLV721029 WBZ720991:WBZ721029 VSD720991:VSD721029 VIH720991:VIH721029 UYL720991:UYL721029 UOP720991:UOP721029 UET720991:UET721029 TUX720991:TUX721029 TLB720991:TLB721029 TBF720991:TBF721029 SRJ720991:SRJ721029 SHN720991:SHN721029 RXR720991:RXR721029 RNV720991:RNV721029 RDZ720991:RDZ721029 QUD720991:QUD721029 QKH720991:QKH721029 QAL720991:QAL721029 PQP720991:PQP721029 PGT720991:PGT721029 OWX720991:OWX721029 ONB720991:ONB721029 ODF720991:ODF721029 NTJ720991:NTJ721029 NJN720991:NJN721029 MZR720991:MZR721029 MPV720991:MPV721029 MFZ720991:MFZ721029 LWD720991:LWD721029 LMH720991:LMH721029 LCL720991:LCL721029 KSP720991:KSP721029 KIT720991:KIT721029 JYX720991:JYX721029 JPB720991:JPB721029 JFF720991:JFF721029 IVJ720991:IVJ721029 ILN720991:ILN721029 IBR720991:IBR721029 HRV720991:HRV721029 HHZ720991:HHZ721029 GYD720991:GYD721029 GOH720991:GOH721029 GEL720991:GEL721029 FUP720991:FUP721029 FKT720991:FKT721029 FAX720991:FAX721029 ERB720991:ERB721029 EHF720991:EHF721029 DXJ720991:DXJ721029 DNN720991:DNN721029 DDR720991:DDR721029 CTV720991:CTV721029 CJZ720991:CJZ721029 CAD720991:CAD721029 BQH720991:BQH721029 BGL720991:BGL721029 AWP720991:AWP721029 AMT720991:AMT721029 ACX720991:ACX721029 TB720991:TB721029 JF720991:JF721029 J720991:J721029 WVR655455:WVR655493 WLV655455:WLV655493 WBZ655455:WBZ655493 VSD655455:VSD655493 VIH655455:VIH655493 UYL655455:UYL655493 UOP655455:UOP655493 UET655455:UET655493 TUX655455:TUX655493 TLB655455:TLB655493 TBF655455:TBF655493 SRJ655455:SRJ655493 SHN655455:SHN655493 RXR655455:RXR655493 RNV655455:RNV655493 RDZ655455:RDZ655493 QUD655455:QUD655493 QKH655455:QKH655493 QAL655455:QAL655493 PQP655455:PQP655493 PGT655455:PGT655493 OWX655455:OWX655493 ONB655455:ONB655493 ODF655455:ODF655493 NTJ655455:NTJ655493 NJN655455:NJN655493 MZR655455:MZR655493 MPV655455:MPV655493 MFZ655455:MFZ655493 LWD655455:LWD655493 LMH655455:LMH655493 LCL655455:LCL655493 KSP655455:KSP655493 KIT655455:KIT655493 JYX655455:JYX655493 JPB655455:JPB655493 JFF655455:JFF655493 IVJ655455:IVJ655493 ILN655455:ILN655493 IBR655455:IBR655493 HRV655455:HRV655493 HHZ655455:HHZ655493 GYD655455:GYD655493 GOH655455:GOH655493 GEL655455:GEL655493 FUP655455:FUP655493 FKT655455:FKT655493 FAX655455:FAX655493 ERB655455:ERB655493 EHF655455:EHF655493 DXJ655455:DXJ655493 DNN655455:DNN655493 DDR655455:DDR655493 CTV655455:CTV655493 CJZ655455:CJZ655493 CAD655455:CAD655493 BQH655455:BQH655493 BGL655455:BGL655493 AWP655455:AWP655493 AMT655455:AMT655493 ACX655455:ACX655493 TB655455:TB655493 JF655455:JF655493 J655455:J655493 WVR589919:WVR589957 WLV589919:WLV589957 WBZ589919:WBZ589957 VSD589919:VSD589957 VIH589919:VIH589957 UYL589919:UYL589957 UOP589919:UOP589957 UET589919:UET589957 TUX589919:TUX589957 TLB589919:TLB589957 TBF589919:TBF589957 SRJ589919:SRJ589957 SHN589919:SHN589957 RXR589919:RXR589957 RNV589919:RNV589957 RDZ589919:RDZ589957 QUD589919:QUD589957 QKH589919:QKH589957 QAL589919:QAL589957 PQP589919:PQP589957 PGT589919:PGT589957 OWX589919:OWX589957 ONB589919:ONB589957 ODF589919:ODF589957 NTJ589919:NTJ589957 NJN589919:NJN589957 MZR589919:MZR589957 MPV589919:MPV589957 MFZ589919:MFZ589957 LWD589919:LWD589957 LMH589919:LMH589957 LCL589919:LCL589957 KSP589919:KSP589957 KIT589919:KIT589957 JYX589919:JYX589957 JPB589919:JPB589957 JFF589919:JFF589957 IVJ589919:IVJ589957 ILN589919:ILN589957 IBR589919:IBR589957 HRV589919:HRV589957 HHZ589919:HHZ589957 GYD589919:GYD589957 GOH589919:GOH589957 GEL589919:GEL589957 FUP589919:FUP589957 FKT589919:FKT589957 FAX589919:FAX589957 ERB589919:ERB589957 EHF589919:EHF589957 DXJ589919:DXJ589957 DNN589919:DNN589957 DDR589919:DDR589957 CTV589919:CTV589957 CJZ589919:CJZ589957 CAD589919:CAD589957 BQH589919:BQH589957 BGL589919:BGL589957 AWP589919:AWP589957 AMT589919:AMT589957 ACX589919:ACX589957 TB589919:TB589957 JF589919:JF589957 J589919:J589957 WVR524383:WVR524421 WLV524383:WLV524421 WBZ524383:WBZ524421 VSD524383:VSD524421 VIH524383:VIH524421 UYL524383:UYL524421 UOP524383:UOP524421 UET524383:UET524421 TUX524383:TUX524421 TLB524383:TLB524421 TBF524383:TBF524421 SRJ524383:SRJ524421 SHN524383:SHN524421 RXR524383:RXR524421 RNV524383:RNV524421 RDZ524383:RDZ524421 QUD524383:QUD524421 QKH524383:QKH524421 QAL524383:QAL524421 PQP524383:PQP524421 PGT524383:PGT524421 OWX524383:OWX524421 ONB524383:ONB524421 ODF524383:ODF524421 NTJ524383:NTJ524421 NJN524383:NJN524421 MZR524383:MZR524421 MPV524383:MPV524421 MFZ524383:MFZ524421 LWD524383:LWD524421 LMH524383:LMH524421 LCL524383:LCL524421 KSP524383:KSP524421 KIT524383:KIT524421 JYX524383:JYX524421 JPB524383:JPB524421 JFF524383:JFF524421 IVJ524383:IVJ524421 ILN524383:ILN524421 IBR524383:IBR524421 HRV524383:HRV524421 HHZ524383:HHZ524421 GYD524383:GYD524421 GOH524383:GOH524421 GEL524383:GEL524421 FUP524383:FUP524421 FKT524383:FKT524421 FAX524383:FAX524421 ERB524383:ERB524421 EHF524383:EHF524421 DXJ524383:DXJ524421 DNN524383:DNN524421 DDR524383:DDR524421 CTV524383:CTV524421 CJZ524383:CJZ524421 CAD524383:CAD524421 BQH524383:BQH524421 BGL524383:BGL524421 AWP524383:AWP524421 AMT524383:AMT524421 ACX524383:ACX524421 TB524383:TB524421 JF524383:JF524421 J524383:J524421 WVR458847:WVR458885 WLV458847:WLV458885 WBZ458847:WBZ458885 VSD458847:VSD458885 VIH458847:VIH458885 UYL458847:UYL458885 UOP458847:UOP458885 UET458847:UET458885 TUX458847:TUX458885 TLB458847:TLB458885 TBF458847:TBF458885 SRJ458847:SRJ458885 SHN458847:SHN458885 RXR458847:RXR458885 RNV458847:RNV458885 RDZ458847:RDZ458885 QUD458847:QUD458885 QKH458847:QKH458885 QAL458847:QAL458885 PQP458847:PQP458885 PGT458847:PGT458885 OWX458847:OWX458885 ONB458847:ONB458885 ODF458847:ODF458885 NTJ458847:NTJ458885 NJN458847:NJN458885 MZR458847:MZR458885 MPV458847:MPV458885 MFZ458847:MFZ458885 LWD458847:LWD458885 LMH458847:LMH458885 LCL458847:LCL458885 KSP458847:KSP458885 KIT458847:KIT458885 JYX458847:JYX458885 JPB458847:JPB458885 JFF458847:JFF458885 IVJ458847:IVJ458885 ILN458847:ILN458885 IBR458847:IBR458885 HRV458847:HRV458885 HHZ458847:HHZ458885 GYD458847:GYD458885 GOH458847:GOH458885 GEL458847:GEL458885 FUP458847:FUP458885 FKT458847:FKT458885 FAX458847:FAX458885 ERB458847:ERB458885 EHF458847:EHF458885 DXJ458847:DXJ458885 DNN458847:DNN458885 DDR458847:DDR458885 CTV458847:CTV458885 CJZ458847:CJZ458885 CAD458847:CAD458885 BQH458847:BQH458885 BGL458847:BGL458885 AWP458847:AWP458885 AMT458847:AMT458885 ACX458847:ACX458885 TB458847:TB458885 JF458847:JF458885 J458847:J458885 WVR393311:WVR393349 WLV393311:WLV393349 WBZ393311:WBZ393349 VSD393311:VSD393349 VIH393311:VIH393349 UYL393311:UYL393349 UOP393311:UOP393349 UET393311:UET393349 TUX393311:TUX393349 TLB393311:TLB393349 TBF393311:TBF393349 SRJ393311:SRJ393349 SHN393311:SHN393349 RXR393311:RXR393349 RNV393311:RNV393349 RDZ393311:RDZ393349 QUD393311:QUD393349 QKH393311:QKH393349 QAL393311:QAL393349 PQP393311:PQP393349 PGT393311:PGT393349 OWX393311:OWX393349 ONB393311:ONB393349 ODF393311:ODF393349 NTJ393311:NTJ393349 NJN393311:NJN393349 MZR393311:MZR393349 MPV393311:MPV393349 MFZ393311:MFZ393349 LWD393311:LWD393349 LMH393311:LMH393349 LCL393311:LCL393349 KSP393311:KSP393349 KIT393311:KIT393349 JYX393311:JYX393349 JPB393311:JPB393349 JFF393311:JFF393349 IVJ393311:IVJ393349 ILN393311:ILN393349 IBR393311:IBR393349 HRV393311:HRV393349 HHZ393311:HHZ393349 GYD393311:GYD393349 GOH393311:GOH393349 GEL393311:GEL393349 FUP393311:FUP393349 FKT393311:FKT393349 FAX393311:FAX393349 ERB393311:ERB393349 EHF393311:EHF393349 DXJ393311:DXJ393349 DNN393311:DNN393349 DDR393311:DDR393349 CTV393311:CTV393349 CJZ393311:CJZ393349 CAD393311:CAD393349 BQH393311:BQH393349 BGL393311:BGL393349 AWP393311:AWP393349 AMT393311:AMT393349 ACX393311:ACX393349 TB393311:TB393349 JF393311:JF393349 J393311:J393349 WVR327775:WVR327813 WLV327775:WLV327813 WBZ327775:WBZ327813 VSD327775:VSD327813 VIH327775:VIH327813 UYL327775:UYL327813 UOP327775:UOP327813 UET327775:UET327813 TUX327775:TUX327813 TLB327775:TLB327813 TBF327775:TBF327813 SRJ327775:SRJ327813 SHN327775:SHN327813 RXR327775:RXR327813 RNV327775:RNV327813 RDZ327775:RDZ327813 QUD327775:QUD327813 QKH327775:QKH327813 QAL327775:QAL327813 PQP327775:PQP327813 PGT327775:PGT327813 OWX327775:OWX327813 ONB327775:ONB327813 ODF327775:ODF327813 NTJ327775:NTJ327813 NJN327775:NJN327813 MZR327775:MZR327813 MPV327775:MPV327813 MFZ327775:MFZ327813 LWD327775:LWD327813 LMH327775:LMH327813 LCL327775:LCL327813 KSP327775:KSP327813 KIT327775:KIT327813 JYX327775:JYX327813 JPB327775:JPB327813 JFF327775:JFF327813 IVJ327775:IVJ327813 ILN327775:ILN327813 IBR327775:IBR327813 HRV327775:HRV327813 HHZ327775:HHZ327813 GYD327775:GYD327813 GOH327775:GOH327813 GEL327775:GEL327813 FUP327775:FUP327813 FKT327775:FKT327813 FAX327775:FAX327813 ERB327775:ERB327813 EHF327775:EHF327813 DXJ327775:DXJ327813 DNN327775:DNN327813 DDR327775:DDR327813 CTV327775:CTV327813 CJZ327775:CJZ327813 CAD327775:CAD327813 BQH327775:BQH327813 BGL327775:BGL327813 AWP327775:AWP327813 AMT327775:AMT327813 ACX327775:ACX327813 TB327775:TB327813 JF327775:JF327813 J327775:J327813 WVR262239:WVR262277 WLV262239:WLV262277 WBZ262239:WBZ262277 VSD262239:VSD262277 VIH262239:VIH262277 UYL262239:UYL262277 UOP262239:UOP262277 UET262239:UET262277 TUX262239:TUX262277 TLB262239:TLB262277 TBF262239:TBF262277 SRJ262239:SRJ262277 SHN262239:SHN262277 RXR262239:RXR262277 RNV262239:RNV262277 RDZ262239:RDZ262277 QUD262239:QUD262277 QKH262239:QKH262277 QAL262239:QAL262277 PQP262239:PQP262277 PGT262239:PGT262277 OWX262239:OWX262277 ONB262239:ONB262277 ODF262239:ODF262277 NTJ262239:NTJ262277 NJN262239:NJN262277 MZR262239:MZR262277 MPV262239:MPV262277 MFZ262239:MFZ262277 LWD262239:LWD262277 LMH262239:LMH262277 LCL262239:LCL262277 KSP262239:KSP262277 KIT262239:KIT262277 JYX262239:JYX262277 JPB262239:JPB262277 JFF262239:JFF262277 IVJ262239:IVJ262277 ILN262239:ILN262277 IBR262239:IBR262277 HRV262239:HRV262277 HHZ262239:HHZ262277 GYD262239:GYD262277 GOH262239:GOH262277 GEL262239:GEL262277 FUP262239:FUP262277 FKT262239:FKT262277 FAX262239:FAX262277 ERB262239:ERB262277 EHF262239:EHF262277 DXJ262239:DXJ262277 DNN262239:DNN262277 DDR262239:DDR262277 CTV262239:CTV262277 CJZ262239:CJZ262277 CAD262239:CAD262277 BQH262239:BQH262277 BGL262239:BGL262277 AWP262239:AWP262277 AMT262239:AMT262277 ACX262239:ACX262277 TB262239:TB262277 JF262239:JF262277 J262239:J262277 WVR196703:WVR196741 WLV196703:WLV196741 WBZ196703:WBZ196741 VSD196703:VSD196741 VIH196703:VIH196741 UYL196703:UYL196741 UOP196703:UOP196741 UET196703:UET196741 TUX196703:TUX196741 TLB196703:TLB196741 TBF196703:TBF196741 SRJ196703:SRJ196741 SHN196703:SHN196741 RXR196703:RXR196741 RNV196703:RNV196741 RDZ196703:RDZ196741 QUD196703:QUD196741 QKH196703:QKH196741 QAL196703:QAL196741 PQP196703:PQP196741 PGT196703:PGT196741 OWX196703:OWX196741 ONB196703:ONB196741 ODF196703:ODF196741 NTJ196703:NTJ196741 NJN196703:NJN196741 MZR196703:MZR196741 MPV196703:MPV196741 MFZ196703:MFZ196741 LWD196703:LWD196741 LMH196703:LMH196741 LCL196703:LCL196741 KSP196703:KSP196741 KIT196703:KIT196741 JYX196703:JYX196741 JPB196703:JPB196741 JFF196703:JFF196741 IVJ196703:IVJ196741 ILN196703:ILN196741 IBR196703:IBR196741 HRV196703:HRV196741 HHZ196703:HHZ196741 GYD196703:GYD196741 GOH196703:GOH196741 GEL196703:GEL196741 FUP196703:FUP196741 FKT196703:FKT196741 FAX196703:FAX196741 ERB196703:ERB196741 EHF196703:EHF196741 DXJ196703:DXJ196741 DNN196703:DNN196741 DDR196703:DDR196741 CTV196703:CTV196741 CJZ196703:CJZ196741 CAD196703:CAD196741 BQH196703:BQH196741 BGL196703:BGL196741 AWP196703:AWP196741 AMT196703:AMT196741 ACX196703:ACX196741 TB196703:TB196741 JF196703:JF196741 J196703:J196741 WVR131167:WVR131205 WLV131167:WLV131205 WBZ131167:WBZ131205 VSD131167:VSD131205 VIH131167:VIH131205 UYL131167:UYL131205 UOP131167:UOP131205 UET131167:UET131205 TUX131167:TUX131205 TLB131167:TLB131205 TBF131167:TBF131205 SRJ131167:SRJ131205 SHN131167:SHN131205 RXR131167:RXR131205 RNV131167:RNV131205 RDZ131167:RDZ131205 QUD131167:QUD131205 QKH131167:QKH131205 QAL131167:QAL131205 PQP131167:PQP131205 PGT131167:PGT131205 OWX131167:OWX131205 ONB131167:ONB131205 ODF131167:ODF131205 NTJ131167:NTJ131205 NJN131167:NJN131205 MZR131167:MZR131205 MPV131167:MPV131205 MFZ131167:MFZ131205 LWD131167:LWD131205 LMH131167:LMH131205 LCL131167:LCL131205 KSP131167:KSP131205 KIT131167:KIT131205 JYX131167:JYX131205 JPB131167:JPB131205 JFF131167:JFF131205 IVJ131167:IVJ131205 ILN131167:ILN131205 IBR131167:IBR131205 HRV131167:HRV131205 HHZ131167:HHZ131205 GYD131167:GYD131205 GOH131167:GOH131205 GEL131167:GEL131205 FUP131167:FUP131205 FKT131167:FKT131205 FAX131167:FAX131205 ERB131167:ERB131205 EHF131167:EHF131205 DXJ131167:DXJ131205 DNN131167:DNN131205 DDR131167:DDR131205 CTV131167:CTV131205 CJZ131167:CJZ131205 CAD131167:CAD131205 BQH131167:BQH131205 BGL131167:BGL131205 AWP131167:AWP131205 AMT131167:AMT131205 ACX131167:ACX131205 TB131167:TB131205 JF131167:JF131205 J131167:J131205 WVR65631:WVR65669 WLV65631:WLV65669 WBZ65631:WBZ65669 VSD65631:VSD65669 VIH65631:VIH65669 UYL65631:UYL65669 UOP65631:UOP65669 UET65631:UET65669 TUX65631:TUX65669 TLB65631:TLB65669 TBF65631:TBF65669 SRJ65631:SRJ65669 SHN65631:SHN65669 RXR65631:RXR65669 RNV65631:RNV65669 RDZ65631:RDZ65669 QUD65631:QUD65669 QKH65631:QKH65669 QAL65631:QAL65669 PQP65631:PQP65669 PGT65631:PGT65669 OWX65631:OWX65669 ONB65631:ONB65669 ODF65631:ODF65669 NTJ65631:NTJ65669 NJN65631:NJN65669 MZR65631:MZR65669 MPV65631:MPV65669 MFZ65631:MFZ65669 LWD65631:LWD65669 LMH65631:LMH65669 LCL65631:LCL65669 KSP65631:KSP65669 KIT65631:KIT65669 JYX65631:JYX65669 JPB65631:JPB65669 JFF65631:JFF65669 IVJ65631:IVJ65669 ILN65631:ILN65669 IBR65631:IBR65669 HRV65631:HRV65669 HHZ65631:HHZ65669 GYD65631:GYD65669 GOH65631:GOH65669 GEL65631:GEL65669 FUP65631:FUP65669 FKT65631:FKT65669 FAX65631:FAX65669 ERB65631:ERB65669 EHF65631:EHF65669 DXJ65631:DXJ65669 DNN65631:DNN65669 DDR65631:DDR65669 CTV65631:CTV65669 CJZ65631:CJZ65669 CAD65631:CAD65669 BQH65631:BQH65669 BGL65631:BGL65669 AWP65631:AWP65669 AMT65631:AMT65669 ACX65631:ACX65669 TB65631:TB65669 JF65631:JF65669 J65631:J65669 WVR83:WVR121 WLV83:WLV121 WBZ83:WBZ121 VSD83:VSD121 VIH83:VIH121 UYL83:UYL121 UOP83:UOP121 UET83:UET121 TUX83:TUX121 TLB83:TLB121 TBF83:TBF121 SRJ83:SRJ121 SHN83:SHN121 RXR83:RXR121 RNV83:RNV121 RDZ83:RDZ121 QUD83:QUD121 QKH83:QKH121 QAL83:QAL121 PQP83:PQP121 PGT83:PGT121 OWX83:OWX121 ONB83:ONB121 ODF83:ODF121 NTJ83:NTJ121 NJN83:NJN121 MZR83:MZR121 MPV83:MPV121 MFZ83:MFZ121 LWD83:LWD121 LMH83:LMH121 LCL83:LCL121 KSP83:KSP121 KIT83:KIT121 JYX83:JYX121 JPB83:JPB121 JFF83:JFF121 IVJ83:IVJ121 ILN83:ILN121 IBR83:IBR121 HRV83:HRV121 HHZ83:HHZ121 GYD83:GYD121 GOH83:GOH121 GEL83:GEL121 FUP83:FUP121 FKT83:FKT121 FAX83:FAX121 ERB83:ERB121 EHF83:EHF121 DXJ83:DXJ121 DNN83:DNN121 DDR83:DDR121 CTV83:CTV121 CJZ83:CJZ121 CAD83:CAD121 BQH83:BQH121 BGL83:BGL121 AWP83:AWP121 AMT83:AMT121 ACX83:ACX121 TB83:TB121 JF83:JF121" xr:uid="{00000000-0002-0000-0700-000001000000}">
      <formula1>$A$194:$A$198</formula1>
    </dataValidation>
    <dataValidation type="list" allowBlank="1" showInputMessage="1" showErrorMessage="1" sqref="K24:K78 WVS983135:WVS983173 WLW983135:WLW983173 WCA983135:WCA983173 VSE983135:VSE983173 VII983135:VII983173 UYM983135:UYM983173 UOQ983135:UOQ983173 UEU983135:UEU983173 TUY983135:TUY983173 TLC983135:TLC983173 TBG983135:TBG983173 SRK983135:SRK983173 SHO983135:SHO983173 RXS983135:RXS983173 RNW983135:RNW983173 REA983135:REA983173 QUE983135:QUE983173 QKI983135:QKI983173 QAM983135:QAM983173 PQQ983135:PQQ983173 PGU983135:PGU983173 OWY983135:OWY983173 ONC983135:ONC983173 ODG983135:ODG983173 NTK983135:NTK983173 NJO983135:NJO983173 MZS983135:MZS983173 MPW983135:MPW983173 MGA983135:MGA983173 LWE983135:LWE983173 LMI983135:LMI983173 LCM983135:LCM983173 KSQ983135:KSQ983173 KIU983135:KIU983173 JYY983135:JYY983173 JPC983135:JPC983173 JFG983135:JFG983173 IVK983135:IVK983173 ILO983135:ILO983173 IBS983135:IBS983173 HRW983135:HRW983173 HIA983135:HIA983173 GYE983135:GYE983173 GOI983135:GOI983173 GEM983135:GEM983173 FUQ983135:FUQ983173 FKU983135:FKU983173 FAY983135:FAY983173 ERC983135:ERC983173 EHG983135:EHG983173 DXK983135:DXK983173 DNO983135:DNO983173 DDS983135:DDS983173 CTW983135:CTW983173 CKA983135:CKA983173 CAE983135:CAE983173 BQI983135:BQI983173 BGM983135:BGM983173 AWQ983135:AWQ983173 AMU983135:AMU983173 ACY983135:ACY983173 TC983135:TC983173 JG983135:JG983173 K983135:K983173 WVS917599:WVS917637 WLW917599:WLW917637 WCA917599:WCA917637 VSE917599:VSE917637 VII917599:VII917637 UYM917599:UYM917637 UOQ917599:UOQ917637 UEU917599:UEU917637 TUY917599:TUY917637 TLC917599:TLC917637 TBG917599:TBG917637 SRK917599:SRK917637 SHO917599:SHO917637 RXS917599:RXS917637 RNW917599:RNW917637 REA917599:REA917637 QUE917599:QUE917637 QKI917599:QKI917637 QAM917599:QAM917637 PQQ917599:PQQ917637 PGU917599:PGU917637 OWY917599:OWY917637 ONC917599:ONC917637 ODG917599:ODG917637 NTK917599:NTK917637 NJO917599:NJO917637 MZS917599:MZS917637 MPW917599:MPW917637 MGA917599:MGA917637 LWE917599:LWE917637 LMI917599:LMI917637 LCM917599:LCM917637 KSQ917599:KSQ917637 KIU917599:KIU917637 JYY917599:JYY917637 JPC917599:JPC917637 JFG917599:JFG917637 IVK917599:IVK917637 ILO917599:ILO917637 IBS917599:IBS917637 HRW917599:HRW917637 HIA917599:HIA917637 GYE917599:GYE917637 GOI917599:GOI917637 GEM917599:GEM917637 FUQ917599:FUQ917637 FKU917599:FKU917637 FAY917599:FAY917637 ERC917599:ERC917637 EHG917599:EHG917637 DXK917599:DXK917637 DNO917599:DNO917637 DDS917599:DDS917637 CTW917599:CTW917637 CKA917599:CKA917637 CAE917599:CAE917637 BQI917599:BQI917637 BGM917599:BGM917637 AWQ917599:AWQ917637 AMU917599:AMU917637 ACY917599:ACY917637 TC917599:TC917637 JG917599:JG917637 K917599:K917637 WVS852063:WVS852101 WLW852063:WLW852101 WCA852063:WCA852101 VSE852063:VSE852101 VII852063:VII852101 UYM852063:UYM852101 UOQ852063:UOQ852101 UEU852063:UEU852101 TUY852063:TUY852101 TLC852063:TLC852101 TBG852063:TBG852101 SRK852063:SRK852101 SHO852063:SHO852101 RXS852063:RXS852101 RNW852063:RNW852101 REA852063:REA852101 QUE852063:QUE852101 QKI852063:QKI852101 QAM852063:QAM852101 PQQ852063:PQQ852101 PGU852063:PGU852101 OWY852063:OWY852101 ONC852063:ONC852101 ODG852063:ODG852101 NTK852063:NTK852101 NJO852063:NJO852101 MZS852063:MZS852101 MPW852063:MPW852101 MGA852063:MGA852101 LWE852063:LWE852101 LMI852063:LMI852101 LCM852063:LCM852101 KSQ852063:KSQ852101 KIU852063:KIU852101 JYY852063:JYY852101 JPC852063:JPC852101 JFG852063:JFG852101 IVK852063:IVK852101 ILO852063:ILO852101 IBS852063:IBS852101 HRW852063:HRW852101 HIA852063:HIA852101 GYE852063:GYE852101 GOI852063:GOI852101 GEM852063:GEM852101 FUQ852063:FUQ852101 FKU852063:FKU852101 FAY852063:FAY852101 ERC852063:ERC852101 EHG852063:EHG852101 DXK852063:DXK852101 DNO852063:DNO852101 DDS852063:DDS852101 CTW852063:CTW852101 CKA852063:CKA852101 CAE852063:CAE852101 BQI852063:BQI852101 BGM852063:BGM852101 AWQ852063:AWQ852101 AMU852063:AMU852101 ACY852063:ACY852101 TC852063:TC852101 JG852063:JG852101 K852063:K852101 WVS786527:WVS786565 WLW786527:WLW786565 WCA786527:WCA786565 VSE786527:VSE786565 VII786527:VII786565 UYM786527:UYM786565 UOQ786527:UOQ786565 UEU786527:UEU786565 TUY786527:TUY786565 TLC786527:TLC786565 TBG786527:TBG786565 SRK786527:SRK786565 SHO786527:SHO786565 RXS786527:RXS786565 RNW786527:RNW786565 REA786527:REA786565 QUE786527:QUE786565 QKI786527:QKI786565 QAM786527:QAM786565 PQQ786527:PQQ786565 PGU786527:PGU786565 OWY786527:OWY786565 ONC786527:ONC786565 ODG786527:ODG786565 NTK786527:NTK786565 NJO786527:NJO786565 MZS786527:MZS786565 MPW786527:MPW786565 MGA786527:MGA786565 LWE786527:LWE786565 LMI786527:LMI786565 LCM786527:LCM786565 KSQ786527:KSQ786565 KIU786527:KIU786565 JYY786527:JYY786565 JPC786527:JPC786565 JFG786527:JFG786565 IVK786527:IVK786565 ILO786527:ILO786565 IBS786527:IBS786565 HRW786527:HRW786565 HIA786527:HIA786565 GYE786527:GYE786565 GOI786527:GOI786565 GEM786527:GEM786565 FUQ786527:FUQ786565 FKU786527:FKU786565 FAY786527:FAY786565 ERC786527:ERC786565 EHG786527:EHG786565 DXK786527:DXK786565 DNO786527:DNO786565 DDS786527:DDS786565 CTW786527:CTW786565 CKA786527:CKA786565 CAE786527:CAE786565 BQI786527:BQI786565 BGM786527:BGM786565 AWQ786527:AWQ786565 AMU786527:AMU786565 ACY786527:ACY786565 TC786527:TC786565 JG786527:JG786565 K786527:K786565 WVS720991:WVS721029 WLW720991:WLW721029 WCA720991:WCA721029 VSE720991:VSE721029 VII720991:VII721029 UYM720991:UYM721029 UOQ720991:UOQ721029 UEU720991:UEU721029 TUY720991:TUY721029 TLC720991:TLC721029 TBG720991:TBG721029 SRK720991:SRK721029 SHO720991:SHO721029 RXS720991:RXS721029 RNW720991:RNW721029 REA720991:REA721029 QUE720991:QUE721029 QKI720991:QKI721029 QAM720991:QAM721029 PQQ720991:PQQ721029 PGU720991:PGU721029 OWY720991:OWY721029 ONC720991:ONC721029 ODG720991:ODG721029 NTK720991:NTK721029 NJO720991:NJO721029 MZS720991:MZS721029 MPW720991:MPW721029 MGA720991:MGA721029 LWE720991:LWE721029 LMI720991:LMI721029 LCM720991:LCM721029 KSQ720991:KSQ721029 KIU720991:KIU721029 JYY720991:JYY721029 JPC720991:JPC721029 JFG720991:JFG721029 IVK720991:IVK721029 ILO720991:ILO721029 IBS720991:IBS721029 HRW720991:HRW721029 HIA720991:HIA721029 GYE720991:GYE721029 GOI720991:GOI721029 GEM720991:GEM721029 FUQ720991:FUQ721029 FKU720991:FKU721029 FAY720991:FAY721029 ERC720991:ERC721029 EHG720991:EHG721029 DXK720991:DXK721029 DNO720991:DNO721029 DDS720991:DDS721029 CTW720991:CTW721029 CKA720991:CKA721029 CAE720991:CAE721029 BQI720991:BQI721029 BGM720991:BGM721029 AWQ720991:AWQ721029 AMU720991:AMU721029 ACY720991:ACY721029 TC720991:TC721029 JG720991:JG721029 K720991:K721029 WVS655455:WVS655493 WLW655455:WLW655493 WCA655455:WCA655493 VSE655455:VSE655493 VII655455:VII655493 UYM655455:UYM655493 UOQ655455:UOQ655493 UEU655455:UEU655493 TUY655455:TUY655493 TLC655455:TLC655493 TBG655455:TBG655493 SRK655455:SRK655493 SHO655455:SHO655493 RXS655455:RXS655493 RNW655455:RNW655493 REA655455:REA655493 QUE655455:QUE655493 QKI655455:QKI655493 QAM655455:QAM655493 PQQ655455:PQQ655493 PGU655455:PGU655493 OWY655455:OWY655493 ONC655455:ONC655493 ODG655455:ODG655493 NTK655455:NTK655493 NJO655455:NJO655493 MZS655455:MZS655493 MPW655455:MPW655493 MGA655455:MGA655493 LWE655455:LWE655493 LMI655455:LMI655493 LCM655455:LCM655493 KSQ655455:KSQ655493 KIU655455:KIU655493 JYY655455:JYY655493 JPC655455:JPC655493 JFG655455:JFG655493 IVK655455:IVK655493 ILO655455:ILO655493 IBS655455:IBS655493 HRW655455:HRW655493 HIA655455:HIA655493 GYE655455:GYE655493 GOI655455:GOI655493 GEM655455:GEM655493 FUQ655455:FUQ655493 FKU655455:FKU655493 FAY655455:FAY655493 ERC655455:ERC655493 EHG655455:EHG655493 DXK655455:DXK655493 DNO655455:DNO655493 DDS655455:DDS655493 CTW655455:CTW655493 CKA655455:CKA655493 CAE655455:CAE655493 BQI655455:BQI655493 BGM655455:BGM655493 AWQ655455:AWQ655493 AMU655455:AMU655493 ACY655455:ACY655493 TC655455:TC655493 JG655455:JG655493 K655455:K655493 WVS589919:WVS589957 WLW589919:WLW589957 WCA589919:WCA589957 VSE589919:VSE589957 VII589919:VII589957 UYM589919:UYM589957 UOQ589919:UOQ589957 UEU589919:UEU589957 TUY589919:TUY589957 TLC589919:TLC589957 TBG589919:TBG589957 SRK589919:SRK589957 SHO589919:SHO589957 RXS589919:RXS589957 RNW589919:RNW589957 REA589919:REA589957 QUE589919:QUE589957 QKI589919:QKI589957 QAM589919:QAM589957 PQQ589919:PQQ589957 PGU589919:PGU589957 OWY589919:OWY589957 ONC589919:ONC589957 ODG589919:ODG589957 NTK589919:NTK589957 NJO589919:NJO589957 MZS589919:MZS589957 MPW589919:MPW589957 MGA589919:MGA589957 LWE589919:LWE589957 LMI589919:LMI589957 LCM589919:LCM589957 KSQ589919:KSQ589957 KIU589919:KIU589957 JYY589919:JYY589957 JPC589919:JPC589957 JFG589919:JFG589957 IVK589919:IVK589957 ILO589919:ILO589957 IBS589919:IBS589957 HRW589919:HRW589957 HIA589919:HIA589957 GYE589919:GYE589957 GOI589919:GOI589957 GEM589919:GEM589957 FUQ589919:FUQ589957 FKU589919:FKU589957 FAY589919:FAY589957 ERC589919:ERC589957 EHG589919:EHG589957 DXK589919:DXK589957 DNO589919:DNO589957 DDS589919:DDS589957 CTW589919:CTW589957 CKA589919:CKA589957 CAE589919:CAE589957 BQI589919:BQI589957 BGM589919:BGM589957 AWQ589919:AWQ589957 AMU589919:AMU589957 ACY589919:ACY589957 TC589919:TC589957 JG589919:JG589957 K589919:K589957 WVS524383:WVS524421 WLW524383:WLW524421 WCA524383:WCA524421 VSE524383:VSE524421 VII524383:VII524421 UYM524383:UYM524421 UOQ524383:UOQ524421 UEU524383:UEU524421 TUY524383:TUY524421 TLC524383:TLC524421 TBG524383:TBG524421 SRK524383:SRK524421 SHO524383:SHO524421 RXS524383:RXS524421 RNW524383:RNW524421 REA524383:REA524421 QUE524383:QUE524421 QKI524383:QKI524421 QAM524383:QAM524421 PQQ524383:PQQ524421 PGU524383:PGU524421 OWY524383:OWY524421 ONC524383:ONC524421 ODG524383:ODG524421 NTK524383:NTK524421 NJO524383:NJO524421 MZS524383:MZS524421 MPW524383:MPW524421 MGA524383:MGA524421 LWE524383:LWE524421 LMI524383:LMI524421 LCM524383:LCM524421 KSQ524383:KSQ524421 KIU524383:KIU524421 JYY524383:JYY524421 JPC524383:JPC524421 JFG524383:JFG524421 IVK524383:IVK524421 ILO524383:ILO524421 IBS524383:IBS524421 HRW524383:HRW524421 HIA524383:HIA524421 GYE524383:GYE524421 GOI524383:GOI524421 GEM524383:GEM524421 FUQ524383:FUQ524421 FKU524383:FKU524421 FAY524383:FAY524421 ERC524383:ERC524421 EHG524383:EHG524421 DXK524383:DXK524421 DNO524383:DNO524421 DDS524383:DDS524421 CTW524383:CTW524421 CKA524383:CKA524421 CAE524383:CAE524421 BQI524383:BQI524421 BGM524383:BGM524421 AWQ524383:AWQ524421 AMU524383:AMU524421 ACY524383:ACY524421 TC524383:TC524421 JG524383:JG524421 K524383:K524421 WVS458847:WVS458885 WLW458847:WLW458885 WCA458847:WCA458885 VSE458847:VSE458885 VII458847:VII458885 UYM458847:UYM458885 UOQ458847:UOQ458885 UEU458847:UEU458885 TUY458847:TUY458885 TLC458847:TLC458885 TBG458847:TBG458885 SRK458847:SRK458885 SHO458847:SHO458885 RXS458847:RXS458885 RNW458847:RNW458885 REA458847:REA458885 QUE458847:QUE458885 QKI458847:QKI458885 QAM458847:QAM458885 PQQ458847:PQQ458885 PGU458847:PGU458885 OWY458847:OWY458885 ONC458847:ONC458885 ODG458847:ODG458885 NTK458847:NTK458885 NJO458847:NJO458885 MZS458847:MZS458885 MPW458847:MPW458885 MGA458847:MGA458885 LWE458847:LWE458885 LMI458847:LMI458885 LCM458847:LCM458885 KSQ458847:KSQ458885 KIU458847:KIU458885 JYY458847:JYY458885 JPC458847:JPC458885 JFG458847:JFG458885 IVK458847:IVK458885 ILO458847:ILO458885 IBS458847:IBS458885 HRW458847:HRW458885 HIA458847:HIA458885 GYE458847:GYE458885 GOI458847:GOI458885 GEM458847:GEM458885 FUQ458847:FUQ458885 FKU458847:FKU458885 FAY458847:FAY458885 ERC458847:ERC458885 EHG458847:EHG458885 DXK458847:DXK458885 DNO458847:DNO458885 DDS458847:DDS458885 CTW458847:CTW458885 CKA458847:CKA458885 CAE458847:CAE458885 BQI458847:BQI458885 BGM458847:BGM458885 AWQ458847:AWQ458885 AMU458847:AMU458885 ACY458847:ACY458885 TC458847:TC458885 JG458847:JG458885 K458847:K458885 WVS393311:WVS393349 WLW393311:WLW393349 WCA393311:WCA393349 VSE393311:VSE393349 VII393311:VII393349 UYM393311:UYM393349 UOQ393311:UOQ393349 UEU393311:UEU393349 TUY393311:TUY393349 TLC393311:TLC393349 TBG393311:TBG393349 SRK393311:SRK393349 SHO393311:SHO393349 RXS393311:RXS393349 RNW393311:RNW393349 REA393311:REA393349 QUE393311:QUE393349 QKI393311:QKI393349 QAM393311:QAM393349 PQQ393311:PQQ393349 PGU393311:PGU393349 OWY393311:OWY393349 ONC393311:ONC393349 ODG393311:ODG393349 NTK393311:NTK393349 NJO393311:NJO393349 MZS393311:MZS393349 MPW393311:MPW393349 MGA393311:MGA393349 LWE393311:LWE393349 LMI393311:LMI393349 LCM393311:LCM393349 KSQ393311:KSQ393349 KIU393311:KIU393349 JYY393311:JYY393349 JPC393311:JPC393349 JFG393311:JFG393349 IVK393311:IVK393349 ILO393311:ILO393349 IBS393311:IBS393349 HRW393311:HRW393349 HIA393311:HIA393349 GYE393311:GYE393349 GOI393311:GOI393349 GEM393311:GEM393349 FUQ393311:FUQ393349 FKU393311:FKU393349 FAY393311:FAY393349 ERC393311:ERC393349 EHG393311:EHG393349 DXK393311:DXK393349 DNO393311:DNO393349 DDS393311:DDS393349 CTW393311:CTW393349 CKA393311:CKA393349 CAE393311:CAE393349 BQI393311:BQI393349 BGM393311:BGM393349 AWQ393311:AWQ393349 AMU393311:AMU393349 ACY393311:ACY393349 TC393311:TC393349 JG393311:JG393349 K393311:K393349 WVS327775:WVS327813 WLW327775:WLW327813 WCA327775:WCA327813 VSE327775:VSE327813 VII327775:VII327813 UYM327775:UYM327813 UOQ327775:UOQ327813 UEU327775:UEU327813 TUY327775:TUY327813 TLC327775:TLC327813 TBG327775:TBG327813 SRK327775:SRK327813 SHO327775:SHO327813 RXS327775:RXS327813 RNW327775:RNW327813 REA327775:REA327813 QUE327775:QUE327813 QKI327775:QKI327813 QAM327775:QAM327813 PQQ327775:PQQ327813 PGU327775:PGU327813 OWY327775:OWY327813 ONC327775:ONC327813 ODG327775:ODG327813 NTK327775:NTK327813 NJO327775:NJO327813 MZS327775:MZS327813 MPW327775:MPW327813 MGA327775:MGA327813 LWE327775:LWE327813 LMI327775:LMI327813 LCM327775:LCM327813 KSQ327775:KSQ327813 KIU327775:KIU327813 JYY327775:JYY327813 JPC327775:JPC327813 JFG327775:JFG327813 IVK327775:IVK327813 ILO327775:ILO327813 IBS327775:IBS327813 HRW327775:HRW327813 HIA327775:HIA327813 GYE327775:GYE327813 GOI327775:GOI327813 GEM327775:GEM327813 FUQ327775:FUQ327813 FKU327775:FKU327813 FAY327775:FAY327813 ERC327775:ERC327813 EHG327775:EHG327813 DXK327775:DXK327813 DNO327775:DNO327813 DDS327775:DDS327813 CTW327775:CTW327813 CKA327775:CKA327813 CAE327775:CAE327813 BQI327775:BQI327813 BGM327775:BGM327813 AWQ327775:AWQ327813 AMU327775:AMU327813 ACY327775:ACY327813 TC327775:TC327813 JG327775:JG327813 K327775:K327813 WVS262239:WVS262277 WLW262239:WLW262277 WCA262239:WCA262277 VSE262239:VSE262277 VII262239:VII262277 UYM262239:UYM262277 UOQ262239:UOQ262277 UEU262239:UEU262277 TUY262239:TUY262277 TLC262239:TLC262277 TBG262239:TBG262277 SRK262239:SRK262277 SHO262239:SHO262277 RXS262239:RXS262277 RNW262239:RNW262277 REA262239:REA262277 QUE262239:QUE262277 QKI262239:QKI262277 QAM262239:QAM262277 PQQ262239:PQQ262277 PGU262239:PGU262277 OWY262239:OWY262277 ONC262239:ONC262277 ODG262239:ODG262277 NTK262239:NTK262277 NJO262239:NJO262277 MZS262239:MZS262277 MPW262239:MPW262277 MGA262239:MGA262277 LWE262239:LWE262277 LMI262239:LMI262277 LCM262239:LCM262277 KSQ262239:KSQ262277 KIU262239:KIU262277 JYY262239:JYY262277 JPC262239:JPC262277 JFG262239:JFG262277 IVK262239:IVK262277 ILO262239:ILO262277 IBS262239:IBS262277 HRW262239:HRW262277 HIA262239:HIA262277 GYE262239:GYE262277 GOI262239:GOI262277 GEM262239:GEM262277 FUQ262239:FUQ262277 FKU262239:FKU262277 FAY262239:FAY262277 ERC262239:ERC262277 EHG262239:EHG262277 DXK262239:DXK262277 DNO262239:DNO262277 DDS262239:DDS262277 CTW262239:CTW262277 CKA262239:CKA262277 CAE262239:CAE262277 BQI262239:BQI262277 BGM262239:BGM262277 AWQ262239:AWQ262277 AMU262239:AMU262277 ACY262239:ACY262277 TC262239:TC262277 JG262239:JG262277 K262239:K262277 WVS196703:WVS196741 WLW196703:WLW196741 WCA196703:WCA196741 VSE196703:VSE196741 VII196703:VII196741 UYM196703:UYM196741 UOQ196703:UOQ196741 UEU196703:UEU196741 TUY196703:TUY196741 TLC196703:TLC196741 TBG196703:TBG196741 SRK196703:SRK196741 SHO196703:SHO196741 RXS196703:RXS196741 RNW196703:RNW196741 REA196703:REA196741 QUE196703:QUE196741 QKI196703:QKI196741 QAM196703:QAM196741 PQQ196703:PQQ196741 PGU196703:PGU196741 OWY196703:OWY196741 ONC196703:ONC196741 ODG196703:ODG196741 NTK196703:NTK196741 NJO196703:NJO196741 MZS196703:MZS196741 MPW196703:MPW196741 MGA196703:MGA196741 LWE196703:LWE196741 LMI196703:LMI196741 LCM196703:LCM196741 KSQ196703:KSQ196741 KIU196703:KIU196741 JYY196703:JYY196741 JPC196703:JPC196741 JFG196703:JFG196741 IVK196703:IVK196741 ILO196703:ILO196741 IBS196703:IBS196741 HRW196703:HRW196741 HIA196703:HIA196741 GYE196703:GYE196741 GOI196703:GOI196741 GEM196703:GEM196741 FUQ196703:FUQ196741 FKU196703:FKU196741 FAY196703:FAY196741 ERC196703:ERC196741 EHG196703:EHG196741 DXK196703:DXK196741 DNO196703:DNO196741 DDS196703:DDS196741 CTW196703:CTW196741 CKA196703:CKA196741 CAE196703:CAE196741 BQI196703:BQI196741 BGM196703:BGM196741 AWQ196703:AWQ196741 AMU196703:AMU196741 ACY196703:ACY196741 TC196703:TC196741 JG196703:JG196741 K196703:K196741 WVS131167:WVS131205 WLW131167:WLW131205 WCA131167:WCA131205 VSE131167:VSE131205 VII131167:VII131205 UYM131167:UYM131205 UOQ131167:UOQ131205 UEU131167:UEU131205 TUY131167:TUY131205 TLC131167:TLC131205 TBG131167:TBG131205 SRK131167:SRK131205 SHO131167:SHO131205 RXS131167:RXS131205 RNW131167:RNW131205 REA131167:REA131205 QUE131167:QUE131205 QKI131167:QKI131205 QAM131167:QAM131205 PQQ131167:PQQ131205 PGU131167:PGU131205 OWY131167:OWY131205 ONC131167:ONC131205 ODG131167:ODG131205 NTK131167:NTK131205 NJO131167:NJO131205 MZS131167:MZS131205 MPW131167:MPW131205 MGA131167:MGA131205 LWE131167:LWE131205 LMI131167:LMI131205 LCM131167:LCM131205 KSQ131167:KSQ131205 KIU131167:KIU131205 JYY131167:JYY131205 JPC131167:JPC131205 JFG131167:JFG131205 IVK131167:IVK131205 ILO131167:ILO131205 IBS131167:IBS131205 HRW131167:HRW131205 HIA131167:HIA131205 GYE131167:GYE131205 GOI131167:GOI131205 GEM131167:GEM131205 FUQ131167:FUQ131205 FKU131167:FKU131205 FAY131167:FAY131205 ERC131167:ERC131205 EHG131167:EHG131205 DXK131167:DXK131205 DNO131167:DNO131205 DDS131167:DDS131205 CTW131167:CTW131205 CKA131167:CKA131205 CAE131167:CAE131205 BQI131167:BQI131205 BGM131167:BGM131205 AWQ131167:AWQ131205 AMU131167:AMU131205 ACY131167:ACY131205 TC131167:TC131205 JG131167:JG131205 K131167:K131205 WVS65631:WVS65669 WLW65631:WLW65669 WCA65631:WCA65669 VSE65631:VSE65669 VII65631:VII65669 UYM65631:UYM65669 UOQ65631:UOQ65669 UEU65631:UEU65669 TUY65631:TUY65669 TLC65631:TLC65669 TBG65631:TBG65669 SRK65631:SRK65669 SHO65631:SHO65669 RXS65631:RXS65669 RNW65631:RNW65669 REA65631:REA65669 QUE65631:QUE65669 QKI65631:QKI65669 QAM65631:QAM65669 PQQ65631:PQQ65669 PGU65631:PGU65669 OWY65631:OWY65669 ONC65631:ONC65669 ODG65631:ODG65669 NTK65631:NTK65669 NJO65631:NJO65669 MZS65631:MZS65669 MPW65631:MPW65669 MGA65631:MGA65669 LWE65631:LWE65669 LMI65631:LMI65669 LCM65631:LCM65669 KSQ65631:KSQ65669 KIU65631:KIU65669 JYY65631:JYY65669 JPC65631:JPC65669 JFG65631:JFG65669 IVK65631:IVK65669 ILO65631:ILO65669 IBS65631:IBS65669 HRW65631:HRW65669 HIA65631:HIA65669 GYE65631:GYE65669 GOI65631:GOI65669 GEM65631:GEM65669 FUQ65631:FUQ65669 FKU65631:FKU65669 FAY65631:FAY65669 ERC65631:ERC65669 EHG65631:EHG65669 DXK65631:DXK65669 DNO65631:DNO65669 DDS65631:DDS65669 CTW65631:CTW65669 CKA65631:CKA65669 CAE65631:CAE65669 BQI65631:BQI65669 BGM65631:BGM65669 AWQ65631:AWQ65669 AMU65631:AMU65669 ACY65631:ACY65669 TC65631:TC65669 JG65631:JG65669 K65631:K65669 WVS83:WVS121 WLW83:WLW121 WCA83:WCA121 VSE83:VSE121 VII83:VII121 UYM83:UYM121 UOQ83:UOQ121 UEU83:UEU121 TUY83:TUY121 TLC83:TLC121 TBG83:TBG121 SRK83:SRK121 SHO83:SHO121 RXS83:RXS121 RNW83:RNW121 REA83:REA121 QUE83:QUE121 QKI83:QKI121 QAM83:QAM121 PQQ83:PQQ121 PGU83:PGU121 OWY83:OWY121 ONC83:ONC121 ODG83:ODG121 NTK83:NTK121 NJO83:NJO121 MZS83:MZS121 MPW83:MPW121 MGA83:MGA121 LWE83:LWE121 LMI83:LMI121 LCM83:LCM121 KSQ83:KSQ121 KIU83:KIU121 JYY83:JYY121 JPC83:JPC121 JFG83:JFG121 IVK83:IVK121 ILO83:ILO121 IBS83:IBS121 HRW83:HRW121 HIA83:HIA121 GYE83:GYE121 GOI83:GOI121 GEM83:GEM121 FUQ83:FUQ121 FKU83:FKU121 FAY83:FAY121 ERC83:ERC121 EHG83:EHG121 DXK83:DXK121 DNO83:DNO121 DDS83:DDS121 CTW83:CTW121 CKA83:CKA121 CAE83:CAE121 BQI83:BQI121 BGM83:BGM121 AWQ83:AWQ121 AMU83:AMU121 ACY83:ACY121 TC83:TC121 JG83:JG121 K83:K121 WVS983077:WVS983130 WLW983077:WLW983130 WCA983077:WCA983130 VSE983077:VSE983130 VII983077:VII983130 UYM983077:UYM983130 UOQ983077:UOQ983130 UEU983077:UEU983130 TUY983077:TUY983130 TLC983077:TLC983130 TBG983077:TBG983130 SRK983077:SRK983130 SHO983077:SHO983130 RXS983077:RXS983130 RNW983077:RNW983130 REA983077:REA983130 QUE983077:QUE983130 QKI983077:QKI983130 QAM983077:QAM983130 PQQ983077:PQQ983130 PGU983077:PGU983130 OWY983077:OWY983130 ONC983077:ONC983130 ODG983077:ODG983130 NTK983077:NTK983130 NJO983077:NJO983130 MZS983077:MZS983130 MPW983077:MPW983130 MGA983077:MGA983130 LWE983077:LWE983130 LMI983077:LMI983130 LCM983077:LCM983130 KSQ983077:KSQ983130 KIU983077:KIU983130 JYY983077:JYY983130 JPC983077:JPC983130 JFG983077:JFG983130 IVK983077:IVK983130 ILO983077:ILO983130 IBS983077:IBS983130 HRW983077:HRW983130 HIA983077:HIA983130 GYE983077:GYE983130 GOI983077:GOI983130 GEM983077:GEM983130 FUQ983077:FUQ983130 FKU983077:FKU983130 FAY983077:FAY983130 ERC983077:ERC983130 EHG983077:EHG983130 DXK983077:DXK983130 DNO983077:DNO983130 DDS983077:DDS983130 CTW983077:CTW983130 CKA983077:CKA983130 CAE983077:CAE983130 BQI983077:BQI983130 BGM983077:BGM983130 AWQ983077:AWQ983130 AMU983077:AMU983130 ACY983077:ACY983130 TC983077:TC983130 JG983077:JG983130 K983077:K983130 WVS917541:WVS917594 WLW917541:WLW917594 WCA917541:WCA917594 VSE917541:VSE917594 VII917541:VII917594 UYM917541:UYM917594 UOQ917541:UOQ917594 UEU917541:UEU917594 TUY917541:TUY917594 TLC917541:TLC917594 TBG917541:TBG917594 SRK917541:SRK917594 SHO917541:SHO917594 RXS917541:RXS917594 RNW917541:RNW917594 REA917541:REA917594 QUE917541:QUE917594 QKI917541:QKI917594 QAM917541:QAM917594 PQQ917541:PQQ917594 PGU917541:PGU917594 OWY917541:OWY917594 ONC917541:ONC917594 ODG917541:ODG917594 NTK917541:NTK917594 NJO917541:NJO917594 MZS917541:MZS917594 MPW917541:MPW917594 MGA917541:MGA917594 LWE917541:LWE917594 LMI917541:LMI917594 LCM917541:LCM917594 KSQ917541:KSQ917594 KIU917541:KIU917594 JYY917541:JYY917594 JPC917541:JPC917594 JFG917541:JFG917594 IVK917541:IVK917594 ILO917541:ILO917594 IBS917541:IBS917594 HRW917541:HRW917594 HIA917541:HIA917594 GYE917541:GYE917594 GOI917541:GOI917594 GEM917541:GEM917594 FUQ917541:FUQ917594 FKU917541:FKU917594 FAY917541:FAY917594 ERC917541:ERC917594 EHG917541:EHG917594 DXK917541:DXK917594 DNO917541:DNO917594 DDS917541:DDS917594 CTW917541:CTW917594 CKA917541:CKA917594 CAE917541:CAE917594 BQI917541:BQI917594 BGM917541:BGM917594 AWQ917541:AWQ917594 AMU917541:AMU917594 ACY917541:ACY917594 TC917541:TC917594 JG917541:JG917594 K917541:K917594 WVS852005:WVS852058 WLW852005:WLW852058 WCA852005:WCA852058 VSE852005:VSE852058 VII852005:VII852058 UYM852005:UYM852058 UOQ852005:UOQ852058 UEU852005:UEU852058 TUY852005:TUY852058 TLC852005:TLC852058 TBG852005:TBG852058 SRK852005:SRK852058 SHO852005:SHO852058 RXS852005:RXS852058 RNW852005:RNW852058 REA852005:REA852058 QUE852005:QUE852058 QKI852005:QKI852058 QAM852005:QAM852058 PQQ852005:PQQ852058 PGU852005:PGU852058 OWY852005:OWY852058 ONC852005:ONC852058 ODG852005:ODG852058 NTK852005:NTK852058 NJO852005:NJO852058 MZS852005:MZS852058 MPW852005:MPW852058 MGA852005:MGA852058 LWE852005:LWE852058 LMI852005:LMI852058 LCM852005:LCM852058 KSQ852005:KSQ852058 KIU852005:KIU852058 JYY852005:JYY852058 JPC852005:JPC852058 JFG852005:JFG852058 IVK852005:IVK852058 ILO852005:ILO852058 IBS852005:IBS852058 HRW852005:HRW852058 HIA852005:HIA852058 GYE852005:GYE852058 GOI852005:GOI852058 GEM852005:GEM852058 FUQ852005:FUQ852058 FKU852005:FKU852058 FAY852005:FAY852058 ERC852005:ERC852058 EHG852005:EHG852058 DXK852005:DXK852058 DNO852005:DNO852058 DDS852005:DDS852058 CTW852005:CTW852058 CKA852005:CKA852058 CAE852005:CAE852058 BQI852005:BQI852058 BGM852005:BGM852058 AWQ852005:AWQ852058 AMU852005:AMU852058 ACY852005:ACY852058 TC852005:TC852058 JG852005:JG852058 K852005:K852058 WVS786469:WVS786522 WLW786469:WLW786522 WCA786469:WCA786522 VSE786469:VSE786522 VII786469:VII786522 UYM786469:UYM786522 UOQ786469:UOQ786522 UEU786469:UEU786522 TUY786469:TUY786522 TLC786469:TLC786522 TBG786469:TBG786522 SRK786469:SRK786522 SHO786469:SHO786522 RXS786469:RXS786522 RNW786469:RNW786522 REA786469:REA786522 QUE786469:QUE786522 QKI786469:QKI786522 QAM786469:QAM786522 PQQ786469:PQQ786522 PGU786469:PGU786522 OWY786469:OWY786522 ONC786469:ONC786522 ODG786469:ODG786522 NTK786469:NTK786522 NJO786469:NJO786522 MZS786469:MZS786522 MPW786469:MPW786522 MGA786469:MGA786522 LWE786469:LWE786522 LMI786469:LMI786522 LCM786469:LCM786522 KSQ786469:KSQ786522 KIU786469:KIU786522 JYY786469:JYY786522 JPC786469:JPC786522 JFG786469:JFG786522 IVK786469:IVK786522 ILO786469:ILO786522 IBS786469:IBS786522 HRW786469:HRW786522 HIA786469:HIA786522 GYE786469:GYE786522 GOI786469:GOI786522 GEM786469:GEM786522 FUQ786469:FUQ786522 FKU786469:FKU786522 FAY786469:FAY786522 ERC786469:ERC786522 EHG786469:EHG786522 DXK786469:DXK786522 DNO786469:DNO786522 DDS786469:DDS786522 CTW786469:CTW786522 CKA786469:CKA786522 CAE786469:CAE786522 BQI786469:BQI786522 BGM786469:BGM786522 AWQ786469:AWQ786522 AMU786469:AMU786522 ACY786469:ACY786522 TC786469:TC786522 JG786469:JG786522 K786469:K786522 WVS720933:WVS720986 WLW720933:WLW720986 WCA720933:WCA720986 VSE720933:VSE720986 VII720933:VII720986 UYM720933:UYM720986 UOQ720933:UOQ720986 UEU720933:UEU720986 TUY720933:TUY720986 TLC720933:TLC720986 TBG720933:TBG720986 SRK720933:SRK720986 SHO720933:SHO720986 RXS720933:RXS720986 RNW720933:RNW720986 REA720933:REA720986 QUE720933:QUE720986 QKI720933:QKI720986 QAM720933:QAM720986 PQQ720933:PQQ720986 PGU720933:PGU720986 OWY720933:OWY720986 ONC720933:ONC720986 ODG720933:ODG720986 NTK720933:NTK720986 NJO720933:NJO720986 MZS720933:MZS720986 MPW720933:MPW720986 MGA720933:MGA720986 LWE720933:LWE720986 LMI720933:LMI720986 LCM720933:LCM720986 KSQ720933:KSQ720986 KIU720933:KIU720986 JYY720933:JYY720986 JPC720933:JPC720986 JFG720933:JFG720986 IVK720933:IVK720986 ILO720933:ILO720986 IBS720933:IBS720986 HRW720933:HRW720986 HIA720933:HIA720986 GYE720933:GYE720986 GOI720933:GOI720986 GEM720933:GEM720986 FUQ720933:FUQ720986 FKU720933:FKU720986 FAY720933:FAY720986 ERC720933:ERC720986 EHG720933:EHG720986 DXK720933:DXK720986 DNO720933:DNO720986 DDS720933:DDS720986 CTW720933:CTW720986 CKA720933:CKA720986 CAE720933:CAE720986 BQI720933:BQI720986 BGM720933:BGM720986 AWQ720933:AWQ720986 AMU720933:AMU720986 ACY720933:ACY720986 TC720933:TC720986 JG720933:JG720986 K720933:K720986 WVS655397:WVS655450 WLW655397:WLW655450 WCA655397:WCA655450 VSE655397:VSE655450 VII655397:VII655450 UYM655397:UYM655450 UOQ655397:UOQ655450 UEU655397:UEU655450 TUY655397:TUY655450 TLC655397:TLC655450 TBG655397:TBG655450 SRK655397:SRK655450 SHO655397:SHO655450 RXS655397:RXS655450 RNW655397:RNW655450 REA655397:REA655450 QUE655397:QUE655450 QKI655397:QKI655450 QAM655397:QAM655450 PQQ655397:PQQ655450 PGU655397:PGU655450 OWY655397:OWY655450 ONC655397:ONC655450 ODG655397:ODG655450 NTK655397:NTK655450 NJO655397:NJO655450 MZS655397:MZS655450 MPW655397:MPW655450 MGA655397:MGA655450 LWE655397:LWE655450 LMI655397:LMI655450 LCM655397:LCM655450 KSQ655397:KSQ655450 KIU655397:KIU655450 JYY655397:JYY655450 JPC655397:JPC655450 JFG655397:JFG655450 IVK655397:IVK655450 ILO655397:ILO655450 IBS655397:IBS655450 HRW655397:HRW655450 HIA655397:HIA655450 GYE655397:GYE655450 GOI655397:GOI655450 GEM655397:GEM655450 FUQ655397:FUQ655450 FKU655397:FKU655450 FAY655397:FAY655450 ERC655397:ERC655450 EHG655397:EHG655450 DXK655397:DXK655450 DNO655397:DNO655450 DDS655397:DDS655450 CTW655397:CTW655450 CKA655397:CKA655450 CAE655397:CAE655450 BQI655397:BQI655450 BGM655397:BGM655450 AWQ655397:AWQ655450 AMU655397:AMU655450 ACY655397:ACY655450 TC655397:TC655450 JG655397:JG655450 K655397:K655450 WVS589861:WVS589914 WLW589861:WLW589914 WCA589861:WCA589914 VSE589861:VSE589914 VII589861:VII589914 UYM589861:UYM589914 UOQ589861:UOQ589914 UEU589861:UEU589914 TUY589861:TUY589914 TLC589861:TLC589914 TBG589861:TBG589914 SRK589861:SRK589914 SHO589861:SHO589914 RXS589861:RXS589914 RNW589861:RNW589914 REA589861:REA589914 QUE589861:QUE589914 QKI589861:QKI589914 QAM589861:QAM589914 PQQ589861:PQQ589914 PGU589861:PGU589914 OWY589861:OWY589914 ONC589861:ONC589914 ODG589861:ODG589914 NTK589861:NTK589914 NJO589861:NJO589914 MZS589861:MZS589914 MPW589861:MPW589914 MGA589861:MGA589914 LWE589861:LWE589914 LMI589861:LMI589914 LCM589861:LCM589914 KSQ589861:KSQ589914 KIU589861:KIU589914 JYY589861:JYY589914 JPC589861:JPC589914 JFG589861:JFG589914 IVK589861:IVK589914 ILO589861:ILO589914 IBS589861:IBS589914 HRW589861:HRW589914 HIA589861:HIA589914 GYE589861:GYE589914 GOI589861:GOI589914 GEM589861:GEM589914 FUQ589861:FUQ589914 FKU589861:FKU589914 FAY589861:FAY589914 ERC589861:ERC589914 EHG589861:EHG589914 DXK589861:DXK589914 DNO589861:DNO589914 DDS589861:DDS589914 CTW589861:CTW589914 CKA589861:CKA589914 CAE589861:CAE589914 BQI589861:BQI589914 BGM589861:BGM589914 AWQ589861:AWQ589914 AMU589861:AMU589914 ACY589861:ACY589914 TC589861:TC589914 JG589861:JG589914 K589861:K589914 WVS524325:WVS524378 WLW524325:WLW524378 WCA524325:WCA524378 VSE524325:VSE524378 VII524325:VII524378 UYM524325:UYM524378 UOQ524325:UOQ524378 UEU524325:UEU524378 TUY524325:TUY524378 TLC524325:TLC524378 TBG524325:TBG524378 SRK524325:SRK524378 SHO524325:SHO524378 RXS524325:RXS524378 RNW524325:RNW524378 REA524325:REA524378 QUE524325:QUE524378 QKI524325:QKI524378 QAM524325:QAM524378 PQQ524325:PQQ524378 PGU524325:PGU524378 OWY524325:OWY524378 ONC524325:ONC524378 ODG524325:ODG524378 NTK524325:NTK524378 NJO524325:NJO524378 MZS524325:MZS524378 MPW524325:MPW524378 MGA524325:MGA524378 LWE524325:LWE524378 LMI524325:LMI524378 LCM524325:LCM524378 KSQ524325:KSQ524378 KIU524325:KIU524378 JYY524325:JYY524378 JPC524325:JPC524378 JFG524325:JFG524378 IVK524325:IVK524378 ILO524325:ILO524378 IBS524325:IBS524378 HRW524325:HRW524378 HIA524325:HIA524378 GYE524325:GYE524378 GOI524325:GOI524378 GEM524325:GEM524378 FUQ524325:FUQ524378 FKU524325:FKU524378 FAY524325:FAY524378 ERC524325:ERC524378 EHG524325:EHG524378 DXK524325:DXK524378 DNO524325:DNO524378 DDS524325:DDS524378 CTW524325:CTW524378 CKA524325:CKA524378 CAE524325:CAE524378 BQI524325:BQI524378 BGM524325:BGM524378 AWQ524325:AWQ524378 AMU524325:AMU524378 ACY524325:ACY524378 TC524325:TC524378 JG524325:JG524378 K524325:K524378 WVS458789:WVS458842 WLW458789:WLW458842 WCA458789:WCA458842 VSE458789:VSE458842 VII458789:VII458842 UYM458789:UYM458842 UOQ458789:UOQ458842 UEU458789:UEU458842 TUY458789:TUY458842 TLC458789:TLC458842 TBG458789:TBG458842 SRK458789:SRK458842 SHO458789:SHO458842 RXS458789:RXS458842 RNW458789:RNW458842 REA458789:REA458842 QUE458789:QUE458842 QKI458789:QKI458842 QAM458789:QAM458842 PQQ458789:PQQ458842 PGU458789:PGU458842 OWY458789:OWY458842 ONC458789:ONC458842 ODG458789:ODG458842 NTK458789:NTK458842 NJO458789:NJO458842 MZS458789:MZS458842 MPW458789:MPW458842 MGA458789:MGA458842 LWE458789:LWE458842 LMI458789:LMI458842 LCM458789:LCM458842 KSQ458789:KSQ458842 KIU458789:KIU458842 JYY458789:JYY458842 JPC458789:JPC458842 JFG458789:JFG458842 IVK458789:IVK458842 ILO458789:ILO458842 IBS458789:IBS458842 HRW458789:HRW458842 HIA458789:HIA458842 GYE458789:GYE458842 GOI458789:GOI458842 GEM458789:GEM458842 FUQ458789:FUQ458842 FKU458789:FKU458842 FAY458789:FAY458842 ERC458789:ERC458842 EHG458789:EHG458842 DXK458789:DXK458842 DNO458789:DNO458842 DDS458789:DDS458842 CTW458789:CTW458842 CKA458789:CKA458842 CAE458789:CAE458842 BQI458789:BQI458842 BGM458789:BGM458842 AWQ458789:AWQ458842 AMU458789:AMU458842 ACY458789:ACY458842 TC458789:TC458842 JG458789:JG458842 K458789:K458842 WVS393253:WVS393306 WLW393253:WLW393306 WCA393253:WCA393306 VSE393253:VSE393306 VII393253:VII393306 UYM393253:UYM393306 UOQ393253:UOQ393306 UEU393253:UEU393306 TUY393253:TUY393306 TLC393253:TLC393306 TBG393253:TBG393306 SRK393253:SRK393306 SHO393253:SHO393306 RXS393253:RXS393306 RNW393253:RNW393306 REA393253:REA393306 QUE393253:QUE393306 QKI393253:QKI393306 QAM393253:QAM393306 PQQ393253:PQQ393306 PGU393253:PGU393306 OWY393253:OWY393306 ONC393253:ONC393306 ODG393253:ODG393306 NTK393253:NTK393306 NJO393253:NJO393306 MZS393253:MZS393306 MPW393253:MPW393306 MGA393253:MGA393306 LWE393253:LWE393306 LMI393253:LMI393306 LCM393253:LCM393306 KSQ393253:KSQ393306 KIU393253:KIU393306 JYY393253:JYY393306 JPC393253:JPC393306 JFG393253:JFG393306 IVK393253:IVK393306 ILO393253:ILO393306 IBS393253:IBS393306 HRW393253:HRW393306 HIA393253:HIA393306 GYE393253:GYE393306 GOI393253:GOI393306 GEM393253:GEM393306 FUQ393253:FUQ393306 FKU393253:FKU393306 FAY393253:FAY393306 ERC393253:ERC393306 EHG393253:EHG393306 DXK393253:DXK393306 DNO393253:DNO393306 DDS393253:DDS393306 CTW393253:CTW393306 CKA393253:CKA393306 CAE393253:CAE393306 BQI393253:BQI393306 BGM393253:BGM393306 AWQ393253:AWQ393306 AMU393253:AMU393306 ACY393253:ACY393306 TC393253:TC393306 JG393253:JG393306 K393253:K393306 WVS327717:WVS327770 WLW327717:WLW327770 WCA327717:WCA327770 VSE327717:VSE327770 VII327717:VII327770 UYM327717:UYM327770 UOQ327717:UOQ327770 UEU327717:UEU327770 TUY327717:TUY327770 TLC327717:TLC327770 TBG327717:TBG327770 SRK327717:SRK327770 SHO327717:SHO327770 RXS327717:RXS327770 RNW327717:RNW327770 REA327717:REA327770 QUE327717:QUE327770 QKI327717:QKI327770 QAM327717:QAM327770 PQQ327717:PQQ327770 PGU327717:PGU327770 OWY327717:OWY327770 ONC327717:ONC327770 ODG327717:ODG327770 NTK327717:NTK327770 NJO327717:NJO327770 MZS327717:MZS327770 MPW327717:MPW327770 MGA327717:MGA327770 LWE327717:LWE327770 LMI327717:LMI327770 LCM327717:LCM327770 KSQ327717:KSQ327770 KIU327717:KIU327770 JYY327717:JYY327770 JPC327717:JPC327770 JFG327717:JFG327770 IVK327717:IVK327770 ILO327717:ILO327770 IBS327717:IBS327770 HRW327717:HRW327770 HIA327717:HIA327770 GYE327717:GYE327770 GOI327717:GOI327770 GEM327717:GEM327770 FUQ327717:FUQ327770 FKU327717:FKU327770 FAY327717:FAY327770 ERC327717:ERC327770 EHG327717:EHG327770 DXK327717:DXK327770 DNO327717:DNO327770 DDS327717:DDS327770 CTW327717:CTW327770 CKA327717:CKA327770 CAE327717:CAE327770 BQI327717:BQI327770 BGM327717:BGM327770 AWQ327717:AWQ327770 AMU327717:AMU327770 ACY327717:ACY327770 TC327717:TC327770 JG327717:JG327770 K327717:K327770 WVS262181:WVS262234 WLW262181:WLW262234 WCA262181:WCA262234 VSE262181:VSE262234 VII262181:VII262234 UYM262181:UYM262234 UOQ262181:UOQ262234 UEU262181:UEU262234 TUY262181:TUY262234 TLC262181:TLC262234 TBG262181:TBG262234 SRK262181:SRK262234 SHO262181:SHO262234 RXS262181:RXS262234 RNW262181:RNW262234 REA262181:REA262234 QUE262181:QUE262234 QKI262181:QKI262234 QAM262181:QAM262234 PQQ262181:PQQ262234 PGU262181:PGU262234 OWY262181:OWY262234 ONC262181:ONC262234 ODG262181:ODG262234 NTK262181:NTK262234 NJO262181:NJO262234 MZS262181:MZS262234 MPW262181:MPW262234 MGA262181:MGA262234 LWE262181:LWE262234 LMI262181:LMI262234 LCM262181:LCM262234 KSQ262181:KSQ262234 KIU262181:KIU262234 JYY262181:JYY262234 JPC262181:JPC262234 JFG262181:JFG262234 IVK262181:IVK262234 ILO262181:ILO262234 IBS262181:IBS262234 HRW262181:HRW262234 HIA262181:HIA262234 GYE262181:GYE262234 GOI262181:GOI262234 GEM262181:GEM262234 FUQ262181:FUQ262234 FKU262181:FKU262234 FAY262181:FAY262234 ERC262181:ERC262234 EHG262181:EHG262234 DXK262181:DXK262234 DNO262181:DNO262234 DDS262181:DDS262234 CTW262181:CTW262234 CKA262181:CKA262234 CAE262181:CAE262234 BQI262181:BQI262234 BGM262181:BGM262234 AWQ262181:AWQ262234 AMU262181:AMU262234 ACY262181:ACY262234 TC262181:TC262234 JG262181:JG262234 K262181:K262234 WVS196645:WVS196698 WLW196645:WLW196698 WCA196645:WCA196698 VSE196645:VSE196698 VII196645:VII196698 UYM196645:UYM196698 UOQ196645:UOQ196698 UEU196645:UEU196698 TUY196645:TUY196698 TLC196645:TLC196698 TBG196645:TBG196698 SRK196645:SRK196698 SHO196645:SHO196698 RXS196645:RXS196698 RNW196645:RNW196698 REA196645:REA196698 QUE196645:QUE196698 QKI196645:QKI196698 QAM196645:QAM196698 PQQ196645:PQQ196698 PGU196645:PGU196698 OWY196645:OWY196698 ONC196645:ONC196698 ODG196645:ODG196698 NTK196645:NTK196698 NJO196645:NJO196698 MZS196645:MZS196698 MPW196645:MPW196698 MGA196645:MGA196698 LWE196645:LWE196698 LMI196645:LMI196698 LCM196645:LCM196698 KSQ196645:KSQ196698 KIU196645:KIU196698 JYY196645:JYY196698 JPC196645:JPC196698 JFG196645:JFG196698 IVK196645:IVK196698 ILO196645:ILO196698 IBS196645:IBS196698 HRW196645:HRW196698 HIA196645:HIA196698 GYE196645:GYE196698 GOI196645:GOI196698 GEM196645:GEM196698 FUQ196645:FUQ196698 FKU196645:FKU196698 FAY196645:FAY196698 ERC196645:ERC196698 EHG196645:EHG196698 DXK196645:DXK196698 DNO196645:DNO196698 DDS196645:DDS196698 CTW196645:CTW196698 CKA196645:CKA196698 CAE196645:CAE196698 BQI196645:BQI196698 BGM196645:BGM196698 AWQ196645:AWQ196698 AMU196645:AMU196698 ACY196645:ACY196698 TC196645:TC196698 JG196645:JG196698 K196645:K196698 WVS131109:WVS131162 WLW131109:WLW131162 WCA131109:WCA131162 VSE131109:VSE131162 VII131109:VII131162 UYM131109:UYM131162 UOQ131109:UOQ131162 UEU131109:UEU131162 TUY131109:TUY131162 TLC131109:TLC131162 TBG131109:TBG131162 SRK131109:SRK131162 SHO131109:SHO131162 RXS131109:RXS131162 RNW131109:RNW131162 REA131109:REA131162 QUE131109:QUE131162 QKI131109:QKI131162 QAM131109:QAM131162 PQQ131109:PQQ131162 PGU131109:PGU131162 OWY131109:OWY131162 ONC131109:ONC131162 ODG131109:ODG131162 NTK131109:NTK131162 NJO131109:NJO131162 MZS131109:MZS131162 MPW131109:MPW131162 MGA131109:MGA131162 LWE131109:LWE131162 LMI131109:LMI131162 LCM131109:LCM131162 KSQ131109:KSQ131162 KIU131109:KIU131162 JYY131109:JYY131162 JPC131109:JPC131162 JFG131109:JFG131162 IVK131109:IVK131162 ILO131109:ILO131162 IBS131109:IBS131162 HRW131109:HRW131162 HIA131109:HIA131162 GYE131109:GYE131162 GOI131109:GOI131162 GEM131109:GEM131162 FUQ131109:FUQ131162 FKU131109:FKU131162 FAY131109:FAY131162 ERC131109:ERC131162 EHG131109:EHG131162 DXK131109:DXK131162 DNO131109:DNO131162 DDS131109:DDS131162 CTW131109:CTW131162 CKA131109:CKA131162 CAE131109:CAE131162 BQI131109:BQI131162 BGM131109:BGM131162 AWQ131109:AWQ131162 AMU131109:AMU131162 ACY131109:ACY131162 TC131109:TC131162 JG131109:JG131162 K131109:K131162 WVS65573:WVS65626 WLW65573:WLW65626 WCA65573:WCA65626 VSE65573:VSE65626 VII65573:VII65626 UYM65573:UYM65626 UOQ65573:UOQ65626 UEU65573:UEU65626 TUY65573:TUY65626 TLC65573:TLC65626 TBG65573:TBG65626 SRK65573:SRK65626 SHO65573:SHO65626 RXS65573:RXS65626 RNW65573:RNW65626 REA65573:REA65626 QUE65573:QUE65626 QKI65573:QKI65626 QAM65573:QAM65626 PQQ65573:PQQ65626 PGU65573:PGU65626 OWY65573:OWY65626 ONC65573:ONC65626 ODG65573:ODG65626 NTK65573:NTK65626 NJO65573:NJO65626 MZS65573:MZS65626 MPW65573:MPW65626 MGA65573:MGA65626 LWE65573:LWE65626 LMI65573:LMI65626 LCM65573:LCM65626 KSQ65573:KSQ65626 KIU65573:KIU65626 JYY65573:JYY65626 JPC65573:JPC65626 JFG65573:JFG65626 IVK65573:IVK65626 ILO65573:ILO65626 IBS65573:IBS65626 HRW65573:HRW65626 HIA65573:HIA65626 GYE65573:GYE65626 GOI65573:GOI65626 GEM65573:GEM65626 FUQ65573:FUQ65626 FKU65573:FKU65626 FAY65573:FAY65626 ERC65573:ERC65626 EHG65573:EHG65626 DXK65573:DXK65626 DNO65573:DNO65626 DDS65573:DDS65626 CTW65573:CTW65626 CKA65573:CKA65626 CAE65573:CAE65626 BQI65573:BQI65626 BGM65573:BGM65626 AWQ65573:AWQ65626 AMU65573:AMU65626 ACY65573:ACY65626 TC65573:TC65626 JG65573:JG65626 K65573:K65626 WVS24:WVS78 WLW24:WLW78 WCA24:WCA78 VSE24:VSE78 VII24:VII78 UYM24:UYM78 UOQ24:UOQ78 UEU24:UEU78 TUY24:TUY78 TLC24:TLC78 TBG24:TBG78 SRK24:SRK78 SHO24:SHO78 RXS24:RXS78 RNW24:RNW78 REA24:REA78 QUE24:QUE78 QKI24:QKI78 QAM24:QAM78 PQQ24:PQQ78 PGU24:PGU78 OWY24:OWY78 ONC24:ONC78 ODG24:ODG78 NTK24:NTK78 NJO24:NJO78 MZS24:MZS78 MPW24:MPW78 MGA24:MGA78 LWE24:LWE78 LMI24:LMI78 LCM24:LCM78 KSQ24:KSQ78 KIU24:KIU78 JYY24:JYY78 JPC24:JPC78 JFG24:JFG78 IVK24:IVK78 ILO24:ILO78 IBS24:IBS78 HRW24:HRW78 HIA24:HIA78 GYE24:GYE78 GOI24:GOI78 GEM24:GEM78 FUQ24:FUQ78 FKU24:FKU78 FAY24:FAY78 ERC24:ERC78 EHG24:EHG78 DXK24:DXK78 DNO24:DNO78 DDS24:DDS78 CTW24:CTW78 CKA24:CKA78 CAE24:CAE78 BQI24:BQI78 BGM24:BGM78 AWQ24:AWQ78 AMU24:AMU78 ACY24:ACY78 TC24:TC78 JG24:JG78" xr:uid="{00000000-0002-0000-0700-000002000000}">
      <formula1>$B$194:$B$198</formula1>
    </dataValidation>
  </dataValidations>
  <pageMargins left="0.7" right="0.7" top="0.75" bottom="0.75" header="0.3" footer="0.3"/>
  <pageSetup paperSize="9" orientation="portrait" r:id="rId1"/>
  <ignoredErrors>
    <ignoredError sqref="C6:D6 D13 C4:E4 C5:D5" unlocked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1:M1320"/>
  <sheetViews>
    <sheetView topLeftCell="D1" zoomScale="85" zoomScaleNormal="85" workbookViewId="0">
      <selection activeCell="B1" sqref="B1:K2"/>
    </sheetView>
  </sheetViews>
  <sheetFormatPr baseColWidth="10" defaultColWidth="11.42578125" defaultRowHeight="15" x14ac:dyDescent="0.25"/>
  <cols>
    <col min="1" max="1" width="37.28515625" style="434" customWidth="1"/>
    <col min="2" max="2" width="39.42578125" style="434" customWidth="1"/>
    <col min="3" max="3" width="35.140625" style="434" customWidth="1"/>
    <col min="4" max="4" width="28" style="434" customWidth="1"/>
    <col min="5" max="5" width="26.7109375" style="434" customWidth="1"/>
    <col min="6" max="6" width="29.140625" style="434" customWidth="1"/>
    <col min="7" max="7" width="49.7109375" style="434" customWidth="1"/>
    <col min="8" max="8" width="33.140625" style="436" customWidth="1"/>
    <col min="9" max="9" width="33" style="436" customWidth="1"/>
    <col min="10" max="11" width="29" style="434" customWidth="1"/>
    <col min="12" max="12" width="22.7109375" style="434" customWidth="1"/>
    <col min="13" max="14" width="11.42578125" style="434"/>
    <col min="15" max="15" width="16.42578125" style="434" customWidth="1"/>
    <col min="16" max="256" width="11.42578125" style="434"/>
    <col min="257" max="257" width="37.28515625" style="434" customWidth="1"/>
    <col min="258" max="258" width="39.42578125" style="434" customWidth="1"/>
    <col min="259" max="259" width="35.140625" style="434" customWidth="1"/>
    <col min="260" max="260" width="28" style="434" customWidth="1"/>
    <col min="261" max="261" width="26.7109375" style="434" customWidth="1"/>
    <col min="262" max="262" width="23.7109375" style="434" customWidth="1"/>
    <col min="263" max="263" width="30.7109375" style="434" bestFit="1" customWidth="1"/>
    <col min="264" max="264" width="24.140625" style="434" customWidth="1"/>
    <col min="265" max="265" width="30.42578125" style="434" customWidth="1"/>
    <col min="266" max="267" width="29" style="434" customWidth="1"/>
    <col min="268" max="268" width="22.7109375" style="434" customWidth="1"/>
    <col min="269" max="270" width="11.42578125" style="434"/>
    <col min="271" max="271" width="16.42578125" style="434" customWidth="1"/>
    <col min="272" max="512" width="11.42578125" style="434"/>
    <col min="513" max="513" width="37.28515625" style="434" customWidth="1"/>
    <col min="514" max="514" width="39.42578125" style="434" customWidth="1"/>
    <col min="515" max="515" width="35.140625" style="434" customWidth="1"/>
    <col min="516" max="516" width="28" style="434" customWidth="1"/>
    <col min="517" max="517" width="26.7109375" style="434" customWidth="1"/>
    <col min="518" max="518" width="23.7109375" style="434" customWidth="1"/>
    <col min="519" max="519" width="30.7109375" style="434" bestFit="1" customWidth="1"/>
    <col min="520" max="520" width="24.140625" style="434" customWidth="1"/>
    <col min="521" max="521" width="30.42578125" style="434" customWidth="1"/>
    <col min="522" max="523" width="29" style="434" customWidth="1"/>
    <col min="524" max="524" width="22.7109375" style="434" customWidth="1"/>
    <col min="525" max="526" width="11.42578125" style="434"/>
    <col min="527" max="527" width="16.42578125" style="434" customWidth="1"/>
    <col min="528" max="768" width="11.42578125" style="434"/>
    <col min="769" max="769" width="37.28515625" style="434" customWidth="1"/>
    <col min="770" max="770" width="39.42578125" style="434" customWidth="1"/>
    <col min="771" max="771" width="35.140625" style="434" customWidth="1"/>
    <col min="772" max="772" width="28" style="434" customWidth="1"/>
    <col min="773" max="773" width="26.7109375" style="434" customWidth="1"/>
    <col min="774" max="774" width="23.7109375" style="434" customWidth="1"/>
    <col min="775" max="775" width="30.7109375" style="434" bestFit="1" customWidth="1"/>
    <col min="776" max="776" width="24.140625" style="434" customWidth="1"/>
    <col min="777" max="777" width="30.42578125" style="434" customWidth="1"/>
    <col min="778" max="779" width="29" style="434" customWidth="1"/>
    <col min="780" max="780" width="22.7109375" style="434" customWidth="1"/>
    <col min="781" max="782" width="11.42578125" style="434"/>
    <col min="783" max="783" width="16.42578125" style="434" customWidth="1"/>
    <col min="784" max="1024" width="11.42578125" style="434"/>
    <col min="1025" max="1025" width="37.28515625" style="434" customWidth="1"/>
    <col min="1026" max="1026" width="39.42578125" style="434" customWidth="1"/>
    <col min="1027" max="1027" width="35.140625" style="434" customWidth="1"/>
    <col min="1028" max="1028" width="28" style="434" customWidth="1"/>
    <col min="1029" max="1029" width="26.7109375" style="434" customWidth="1"/>
    <col min="1030" max="1030" width="23.7109375" style="434" customWidth="1"/>
    <col min="1031" max="1031" width="30.7109375" style="434" bestFit="1" customWidth="1"/>
    <col min="1032" max="1032" width="24.140625" style="434" customWidth="1"/>
    <col min="1033" max="1033" width="30.42578125" style="434" customWidth="1"/>
    <col min="1034" max="1035" width="29" style="434" customWidth="1"/>
    <col min="1036" max="1036" width="22.7109375" style="434" customWidth="1"/>
    <col min="1037" max="1038" width="11.42578125" style="434"/>
    <col min="1039" max="1039" width="16.42578125" style="434" customWidth="1"/>
    <col min="1040" max="1280" width="11.42578125" style="434"/>
    <col min="1281" max="1281" width="37.28515625" style="434" customWidth="1"/>
    <col min="1282" max="1282" width="39.42578125" style="434" customWidth="1"/>
    <col min="1283" max="1283" width="35.140625" style="434" customWidth="1"/>
    <col min="1284" max="1284" width="28" style="434" customWidth="1"/>
    <col min="1285" max="1285" width="26.7109375" style="434" customWidth="1"/>
    <col min="1286" max="1286" width="23.7109375" style="434" customWidth="1"/>
    <col min="1287" max="1287" width="30.7109375" style="434" bestFit="1" customWidth="1"/>
    <col min="1288" max="1288" width="24.140625" style="434" customWidth="1"/>
    <col min="1289" max="1289" width="30.42578125" style="434" customWidth="1"/>
    <col min="1290" max="1291" width="29" style="434" customWidth="1"/>
    <col min="1292" max="1292" width="22.7109375" style="434" customWidth="1"/>
    <col min="1293" max="1294" width="11.42578125" style="434"/>
    <col min="1295" max="1295" width="16.42578125" style="434" customWidth="1"/>
    <col min="1296" max="1536" width="11.42578125" style="434"/>
    <col min="1537" max="1537" width="37.28515625" style="434" customWidth="1"/>
    <col min="1538" max="1538" width="39.42578125" style="434" customWidth="1"/>
    <col min="1539" max="1539" width="35.140625" style="434" customWidth="1"/>
    <col min="1540" max="1540" width="28" style="434" customWidth="1"/>
    <col min="1541" max="1541" width="26.7109375" style="434" customWidth="1"/>
    <col min="1542" max="1542" width="23.7109375" style="434" customWidth="1"/>
    <col min="1543" max="1543" width="30.7109375" style="434" bestFit="1" customWidth="1"/>
    <col min="1544" max="1544" width="24.140625" style="434" customWidth="1"/>
    <col min="1545" max="1545" width="30.42578125" style="434" customWidth="1"/>
    <col min="1546" max="1547" width="29" style="434" customWidth="1"/>
    <col min="1548" max="1548" width="22.7109375" style="434" customWidth="1"/>
    <col min="1549" max="1550" width="11.42578125" style="434"/>
    <col min="1551" max="1551" width="16.42578125" style="434" customWidth="1"/>
    <col min="1552" max="1792" width="11.42578125" style="434"/>
    <col min="1793" max="1793" width="37.28515625" style="434" customWidth="1"/>
    <col min="1794" max="1794" width="39.42578125" style="434" customWidth="1"/>
    <col min="1795" max="1795" width="35.140625" style="434" customWidth="1"/>
    <col min="1796" max="1796" width="28" style="434" customWidth="1"/>
    <col min="1797" max="1797" width="26.7109375" style="434" customWidth="1"/>
    <col min="1798" max="1798" width="23.7109375" style="434" customWidth="1"/>
    <col min="1799" max="1799" width="30.7109375" style="434" bestFit="1" customWidth="1"/>
    <col min="1800" max="1800" width="24.140625" style="434" customWidth="1"/>
    <col min="1801" max="1801" width="30.42578125" style="434" customWidth="1"/>
    <col min="1802" max="1803" width="29" style="434" customWidth="1"/>
    <col min="1804" max="1804" width="22.7109375" style="434" customWidth="1"/>
    <col min="1805" max="1806" width="11.42578125" style="434"/>
    <col min="1807" max="1807" width="16.42578125" style="434" customWidth="1"/>
    <col min="1808" max="2048" width="11.42578125" style="434"/>
    <col min="2049" max="2049" width="37.28515625" style="434" customWidth="1"/>
    <col min="2050" max="2050" width="39.42578125" style="434" customWidth="1"/>
    <col min="2051" max="2051" width="35.140625" style="434" customWidth="1"/>
    <col min="2052" max="2052" width="28" style="434" customWidth="1"/>
    <col min="2053" max="2053" width="26.7109375" style="434" customWidth="1"/>
    <col min="2054" max="2054" width="23.7109375" style="434" customWidth="1"/>
    <col min="2055" max="2055" width="30.7109375" style="434" bestFit="1" customWidth="1"/>
    <col min="2056" max="2056" width="24.140625" style="434" customWidth="1"/>
    <col min="2057" max="2057" width="30.42578125" style="434" customWidth="1"/>
    <col min="2058" max="2059" width="29" style="434" customWidth="1"/>
    <col min="2060" max="2060" width="22.7109375" style="434" customWidth="1"/>
    <col min="2061" max="2062" width="11.42578125" style="434"/>
    <col min="2063" max="2063" width="16.42578125" style="434" customWidth="1"/>
    <col min="2064" max="2304" width="11.42578125" style="434"/>
    <col min="2305" max="2305" width="37.28515625" style="434" customWidth="1"/>
    <col min="2306" max="2306" width="39.42578125" style="434" customWidth="1"/>
    <col min="2307" max="2307" width="35.140625" style="434" customWidth="1"/>
    <col min="2308" max="2308" width="28" style="434" customWidth="1"/>
    <col min="2309" max="2309" width="26.7109375" style="434" customWidth="1"/>
    <col min="2310" max="2310" width="23.7109375" style="434" customWidth="1"/>
    <col min="2311" max="2311" width="30.7109375" style="434" bestFit="1" customWidth="1"/>
    <col min="2312" max="2312" width="24.140625" style="434" customWidth="1"/>
    <col min="2313" max="2313" width="30.42578125" style="434" customWidth="1"/>
    <col min="2314" max="2315" width="29" style="434" customWidth="1"/>
    <col min="2316" max="2316" width="22.7109375" style="434" customWidth="1"/>
    <col min="2317" max="2318" width="11.42578125" style="434"/>
    <col min="2319" max="2319" width="16.42578125" style="434" customWidth="1"/>
    <col min="2320" max="2560" width="11.42578125" style="434"/>
    <col min="2561" max="2561" width="37.28515625" style="434" customWidth="1"/>
    <col min="2562" max="2562" width="39.42578125" style="434" customWidth="1"/>
    <col min="2563" max="2563" width="35.140625" style="434" customWidth="1"/>
    <col min="2564" max="2564" width="28" style="434" customWidth="1"/>
    <col min="2565" max="2565" width="26.7109375" style="434" customWidth="1"/>
    <col min="2566" max="2566" width="23.7109375" style="434" customWidth="1"/>
    <col min="2567" max="2567" width="30.7109375" style="434" bestFit="1" customWidth="1"/>
    <col min="2568" max="2568" width="24.140625" style="434" customWidth="1"/>
    <col min="2569" max="2569" width="30.42578125" style="434" customWidth="1"/>
    <col min="2570" max="2571" width="29" style="434" customWidth="1"/>
    <col min="2572" max="2572" width="22.7109375" style="434" customWidth="1"/>
    <col min="2573" max="2574" width="11.42578125" style="434"/>
    <col min="2575" max="2575" width="16.42578125" style="434" customWidth="1"/>
    <col min="2576" max="2816" width="11.42578125" style="434"/>
    <col min="2817" max="2817" width="37.28515625" style="434" customWidth="1"/>
    <col min="2818" max="2818" width="39.42578125" style="434" customWidth="1"/>
    <col min="2819" max="2819" width="35.140625" style="434" customWidth="1"/>
    <col min="2820" max="2820" width="28" style="434" customWidth="1"/>
    <col min="2821" max="2821" width="26.7109375" style="434" customWidth="1"/>
    <col min="2822" max="2822" width="23.7109375" style="434" customWidth="1"/>
    <col min="2823" max="2823" width="30.7109375" style="434" bestFit="1" customWidth="1"/>
    <col min="2824" max="2824" width="24.140625" style="434" customWidth="1"/>
    <col min="2825" max="2825" width="30.42578125" style="434" customWidth="1"/>
    <col min="2826" max="2827" width="29" style="434" customWidth="1"/>
    <col min="2828" max="2828" width="22.7109375" style="434" customWidth="1"/>
    <col min="2829" max="2830" width="11.42578125" style="434"/>
    <col min="2831" max="2831" width="16.42578125" style="434" customWidth="1"/>
    <col min="2832" max="3072" width="11.42578125" style="434"/>
    <col min="3073" max="3073" width="37.28515625" style="434" customWidth="1"/>
    <col min="3074" max="3074" width="39.42578125" style="434" customWidth="1"/>
    <col min="3075" max="3075" width="35.140625" style="434" customWidth="1"/>
    <col min="3076" max="3076" width="28" style="434" customWidth="1"/>
    <col min="3077" max="3077" width="26.7109375" style="434" customWidth="1"/>
    <col min="3078" max="3078" width="23.7109375" style="434" customWidth="1"/>
    <col min="3079" max="3079" width="30.7109375" style="434" bestFit="1" customWidth="1"/>
    <col min="3080" max="3080" width="24.140625" style="434" customWidth="1"/>
    <col min="3081" max="3081" width="30.42578125" style="434" customWidth="1"/>
    <col min="3082" max="3083" width="29" style="434" customWidth="1"/>
    <col min="3084" max="3084" width="22.7109375" style="434" customWidth="1"/>
    <col min="3085" max="3086" width="11.42578125" style="434"/>
    <col min="3087" max="3087" width="16.42578125" style="434" customWidth="1"/>
    <col min="3088" max="3328" width="11.42578125" style="434"/>
    <col min="3329" max="3329" width="37.28515625" style="434" customWidth="1"/>
    <col min="3330" max="3330" width="39.42578125" style="434" customWidth="1"/>
    <col min="3331" max="3331" width="35.140625" style="434" customWidth="1"/>
    <col min="3332" max="3332" width="28" style="434" customWidth="1"/>
    <col min="3333" max="3333" width="26.7109375" style="434" customWidth="1"/>
    <col min="3334" max="3334" width="23.7109375" style="434" customWidth="1"/>
    <col min="3335" max="3335" width="30.7109375" style="434" bestFit="1" customWidth="1"/>
    <col min="3336" max="3336" width="24.140625" style="434" customWidth="1"/>
    <col min="3337" max="3337" width="30.42578125" style="434" customWidth="1"/>
    <col min="3338" max="3339" width="29" style="434" customWidth="1"/>
    <col min="3340" max="3340" width="22.7109375" style="434" customWidth="1"/>
    <col min="3341" max="3342" width="11.42578125" style="434"/>
    <col min="3343" max="3343" width="16.42578125" style="434" customWidth="1"/>
    <col min="3344" max="3584" width="11.42578125" style="434"/>
    <col min="3585" max="3585" width="37.28515625" style="434" customWidth="1"/>
    <col min="3586" max="3586" width="39.42578125" style="434" customWidth="1"/>
    <col min="3587" max="3587" width="35.140625" style="434" customWidth="1"/>
    <col min="3588" max="3588" width="28" style="434" customWidth="1"/>
    <col min="3589" max="3589" width="26.7109375" style="434" customWidth="1"/>
    <col min="3590" max="3590" width="23.7109375" style="434" customWidth="1"/>
    <col min="3591" max="3591" width="30.7109375" style="434" bestFit="1" customWidth="1"/>
    <col min="3592" max="3592" width="24.140625" style="434" customWidth="1"/>
    <col min="3593" max="3593" width="30.42578125" style="434" customWidth="1"/>
    <col min="3594" max="3595" width="29" style="434" customWidth="1"/>
    <col min="3596" max="3596" width="22.7109375" style="434" customWidth="1"/>
    <col min="3597" max="3598" width="11.42578125" style="434"/>
    <col min="3599" max="3599" width="16.42578125" style="434" customWidth="1"/>
    <col min="3600" max="3840" width="11.42578125" style="434"/>
    <col min="3841" max="3841" width="37.28515625" style="434" customWidth="1"/>
    <col min="3842" max="3842" width="39.42578125" style="434" customWidth="1"/>
    <col min="3843" max="3843" width="35.140625" style="434" customWidth="1"/>
    <col min="3844" max="3844" width="28" style="434" customWidth="1"/>
    <col min="3845" max="3845" width="26.7109375" style="434" customWidth="1"/>
    <col min="3846" max="3846" width="23.7109375" style="434" customWidth="1"/>
    <col min="3847" max="3847" width="30.7109375" style="434" bestFit="1" customWidth="1"/>
    <col min="3848" max="3848" width="24.140625" style="434" customWidth="1"/>
    <col min="3849" max="3849" width="30.42578125" style="434" customWidth="1"/>
    <col min="3850" max="3851" width="29" style="434" customWidth="1"/>
    <col min="3852" max="3852" width="22.7109375" style="434" customWidth="1"/>
    <col min="3853" max="3854" width="11.42578125" style="434"/>
    <col min="3855" max="3855" width="16.42578125" style="434" customWidth="1"/>
    <col min="3856" max="4096" width="11.42578125" style="434"/>
    <col min="4097" max="4097" width="37.28515625" style="434" customWidth="1"/>
    <col min="4098" max="4098" width="39.42578125" style="434" customWidth="1"/>
    <col min="4099" max="4099" width="35.140625" style="434" customWidth="1"/>
    <col min="4100" max="4100" width="28" style="434" customWidth="1"/>
    <col min="4101" max="4101" width="26.7109375" style="434" customWidth="1"/>
    <col min="4102" max="4102" width="23.7109375" style="434" customWidth="1"/>
    <col min="4103" max="4103" width="30.7109375" style="434" bestFit="1" customWidth="1"/>
    <col min="4104" max="4104" width="24.140625" style="434" customWidth="1"/>
    <col min="4105" max="4105" width="30.42578125" style="434" customWidth="1"/>
    <col min="4106" max="4107" width="29" style="434" customWidth="1"/>
    <col min="4108" max="4108" width="22.7109375" style="434" customWidth="1"/>
    <col min="4109" max="4110" width="11.42578125" style="434"/>
    <col min="4111" max="4111" width="16.42578125" style="434" customWidth="1"/>
    <col min="4112" max="4352" width="11.42578125" style="434"/>
    <col min="4353" max="4353" width="37.28515625" style="434" customWidth="1"/>
    <col min="4354" max="4354" width="39.42578125" style="434" customWidth="1"/>
    <col min="4355" max="4355" width="35.140625" style="434" customWidth="1"/>
    <col min="4356" max="4356" width="28" style="434" customWidth="1"/>
    <col min="4357" max="4357" width="26.7109375" style="434" customWidth="1"/>
    <col min="4358" max="4358" width="23.7109375" style="434" customWidth="1"/>
    <col min="4359" max="4359" width="30.7109375" style="434" bestFit="1" customWidth="1"/>
    <col min="4360" max="4360" width="24.140625" style="434" customWidth="1"/>
    <col min="4361" max="4361" width="30.42578125" style="434" customWidth="1"/>
    <col min="4362" max="4363" width="29" style="434" customWidth="1"/>
    <col min="4364" max="4364" width="22.7109375" style="434" customWidth="1"/>
    <col min="4365" max="4366" width="11.42578125" style="434"/>
    <col min="4367" max="4367" width="16.42578125" style="434" customWidth="1"/>
    <col min="4368" max="4608" width="11.42578125" style="434"/>
    <col min="4609" max="4609" width="37.28515625" style="434" customWidth="1"/>
    <col min="4610" max="4610" width="39.42578125" style="434" customWidth="1"/>
    <col min="4611" max="4611" width="35.140625" style="434" customWidth="1"/>
    <col min="4612" max="4612" width="28" style="434" customWidth="1"/>
    <col min="4613" max="4613" width="26.7109375" style="434" customWidth="1"/>
    <col min="4614" max="4614" width="23.7109375" style="434" customWidth="1"/>
    <col min="4615" max="4615" width="30.7109375" style="434" bestFit="1" customWidth="1"/>
    <col min="4616" max="4616" width="24.140625" style="434" customWidth="1"/>
    <col min="4617" max="4617" width="30.42578125" style="434" customWidth="1"/>
    <col min="4618" max="4619" width="29" style="434" customWidth="1"/>
    <col min="4620" max="4620" width="22.7109375" style="434" customWidth="1"/>
    <col min="4621" max="4622" width="11.42578125" style="434"/>
    <col min="4623" max="4623" width="16.42578125" style="434" customWidth="1"/>
    <col min="4624" max="4864" width="11.42578125" style="434"/>
    <col min="4865" max="4865" width="37.28515625" style="434" customWidth="1"/>
    <col min="4866" max="4866" width="39.42578125" style="434" customWidth="1"/>
    <col min="4867" max="4867" width="35.140625" style="434" customWidth="1"/>
    <col min="4868" max="4868" width="28" style="434" customWidth="1"/>
    <col min="4869" max="4869" width="26.7109375" style="434" customWidth="1"/>
    <col min="4870" max="4870" width="23.7109375" style="434" customWidth="1"/>
    <col min="4871" max="4871" width="30.7109375" style="434" bestFit="1" customWidth="1"/>
    <col min="4872" max="4872" width="24.140625" style="434" customWidth="1"/>
    <col min="4873" max="4873" width="30.42578125" style="434" customWidth="1"/>
    <col min="4874" max="4875" width="29" style="434" customWidth="1"/>
    <col min="4876" max="4876" width="22.7109375" style="434" customWidth="1"/>
    <col min="4877" max="4878" width="11.42578125" style="434"/>
    <col min="4879" max="4879" width="16.42578125" style="434" customWidth="1"/>
    <col min="4880" max="5120" width="11.42578125" style="434"/>
    <col min="5121" max="5121" width="37.28515625" style="434" customWidth="1"/>
    <col min="5122" max="5122" width="39.42578125" style="434" customWidth="1"/>
    <col min="5123" max="5123" width="35.140625" style="434" customWidth="1"/>
    <col min="5124" max="5124" width="28" style="434" customWidth="1"/>
    <col min="5125" max="5125" width="26.7109375" style="434" customWidth="1"/>
    <col min="5126" max="5126" width="23.7109375" style="434" customWidth="1"/>
    <col min="5127" max="5127" width="30.7109375" style="434" bestFit="1" customWidth="1"/>
    <col min="5128" max="5128" width="24.140625" style="434" customWidth="1"/>
    <col min="5129" max="5129" width="30.42578125" style="434" customWidth="1"/>
    <col min="5130" max="5131" width="29" style="434" customWidth="1"/>
    <col min="5132" max="5132" width="22.7109375" style="434" customWidth="1"/>
    <col min="5133" max="5134" width="11.42578125" style="434"/>
    <col min="5135" max="5135" width="16.42578125" style="434" customWidth="1"/>
    <col min="5136" max="5376" width="11.42578125" style="434"/>
    <col min="5377" max="5377" width="37.28515625" style="434" customWidth="1"/>
    <col min="5378" max="5378" width="39.42578125" style="434" customWidth="1"/>
    <col min="5379" max="5379" width="35.140625" style="434" customWidth="1"/>
    <col min="5380" max="5380" width="28" style="434" customWidth="1"/>
    <col min="5381" max="5381" width="26.7109375" style="434" customWidth="1"/>
    <col min="5382" max="5382" width="23.7109375" style="434" customWidth="1"/>
    <col min="5383" max="5383" width="30.7109375" style="434" bestFit="1" customWidth="1"/>
    <col min="5384" max="5384" width="24.140625" style="434" customWidth="1"/>
    <col min="5385" max="5385" width="30.42578125" style="434" customWidth="1"/>
    <col min="5386" max="5387" width="29" style="434" customWidth="1"/>
    <col min="5388" max="5388" width="22.7109375" style="434" customWidth="1"/>
    <col min="5389" max="5390" width="11.42578125" style="434"/>
    <col min="5391" max="5391" width="16.42578125" style="434" customWidth="1"/>
    <col min="5392" max="5632" width="11.42578125" style="434"/>
    <col min="5633" max="5633" width="37.28515625" style="434" customWidth="1"/>
    <col min="5634" max="5634" width="39.42578125" style="434" customWidth="1"/>
    <col min="5635" max="5635" width="35.140625" style="434" customWidth="1"/>
    <col min="5636" max="5636" width="28" style="434" customWidth="1"/>
    <col min="5637" max="5637" width="26.7109375" style="434" customWidth="1"/>
    <col min="5638" max="5638" width="23.7109375" style="434" customWidth="1"/>
    <col min="5639" max="5639" width="30.7109375" style="434" bestFit="1" customWidth="1"/>
    <col min="5640" max="5640" width="24.140625" style="434" customWidth="1"/>
    <col min="5641" max="5641" width="30.42578125" style="434" customWidth="1"/>
    <col min="5642" max="5643" width="29" style="434" customWidth="1"/>
    <col min="5644" max="5644" width="22.7109375" style="434" customWidth="1"/>
    <col min="5645" max="5646" width="11.42578125" style="434"/>
    <col min="5647" max="5647" width="16.42578125" style="434" customWidth="1"/>
    <col min="5648" max="5888" width="11.42578125" style="434"/>
    <col min="5889" max="5889" width="37.28515625" style="434" customWidth="1"/>
    <col min="5890" max="5890" width="39.42578125" style="434" customWidth="1"/>
    <col min="5891" max="5891" width="35.140625" style="434" customWidth="1"/>
    <col min="5892" max="5892" width="28" style="434" customWidth="1"/>
    <col min="5893" max="5893" width="26.7109375" style="434" customWidth="1"/>
    <col min="5894" max="5894" width="23.7109375" style="434" customWidth="1"/>
    <col min="5895" max="5895" width="30.7109375" style="434" bestFit="1" customWidth="1"/>
    <col min="5896" max="5896" width="24.140625" style="434" customWidth="1"/>
    <col min="5897" max="5897" width="30.42578125" style="434" customWidth="1"/>
    <col min="5898" max="5899" width="29" style="434" customWidth="1"/>
    <col min="5900" max="5900" width="22.7109375" style="434" customWidth="1"/>
    <col min="5901" max="5902" width="11.42578125" style="434"/>
    <col min="5903" max="5903" width="16.42578125" style="434" customWidth="1"/>
    <col min="5904" max="6144" width="11.42578125" style="434"/>
    <col min="6145" max="6145" width="37.28515625" style="434" customWidth="1"/>
    <col min="6146" max="6146" width="39.42578125" style="434" customWidth="1"/>
    <col min="6147" max="6147" width="35.140625" style="434" customWidth="1"/>
    <col min="6148" max="6148" width="28" style="434" customWidth="1"/>
    <col min="6149" max="6149" width="26.7109375" style="434" customWidth="1"/>
    <col min="6150" max="6150" width="23.7109375" style="434" customWidth="1"/>
    <col min="6151" max="6151" width="30.7109375" style="434" bestFit="1" customWidth="1"/>
    <col min="6152" max="6152" width="24.140625" style="434" customWidth="1"/>
    <col min="6153" max="6153" width="30.42578125" style="434" customWidth="1"/>
    <col min="6154" max="6155" width="29" style="434" customWidth="1"/>
    <col min="6156" max="6156" width="22.7109375" style="434" customWidth="1"/>
    <col min="6157" max="6158" width="11.42578125" style="434"/>
    <col min="6159" max="6159" width="16.42578125" style="434" customWidth="1"/>
    <col min="6160" max="6400" width="11.42578125" style="434"/>
    <col min="6401" max="6401" width="37.28515625" style="434" customWidth="1"/>
    <col min="6402" max="6402" width="39.42578125" style="434" customWidth="1"/>
    <col min="6403" max="6403" width="35.140625" style="434" customWidth="1"/>
    <col min="6404" max="6404" width="28" style="434" customWidth="1"/>
    <col min="6405" max="6405" width="26.7109375" style="434" customWidth="1"/>
    <col min="6406" max="6406" width="23.7109375" style="434" customWidth="1"/>
    <col min="6407" max="6407" width="30.7109375" style="434" bestFit="1" customWidth="1"/>
    <col min="6408" max="6408" width="24.140625" style="434" customWidth="1"/>
    <col min="6409" max="6409" width="30.42578125" style="434" customWidth="1"/>
    <col min="6410" max="6411" width="29" style="434" customWidth="1"/>
    <col min="6412" max="6412" width="22.7109375" style="434" customWidth="1"/>
    <col min="6413" max="6414" width="11.42578125" style="434"/>
    <col min="6415" max="6415" width="16.42578125" style="434" customWidth="1"/>
    <col min="6416" max="6656" width="11.42578125" style="434"/>
    <col min="6657" max="6657" width="37.28515625" style="434" customWidth="1"/>
    <col min="6658" max="6658" width="39.42578125" style="434" customWidth="1"/>
    <col min="6659" max="6659" width="35.140625" style="434" customWidth="1"/>
    <col min="6660" max="6660" width="28" style="434" customWidth="1"/>
    <col min="6661" max="6661" width="26.7109375" style="434" customWidth="1"/>
    <col min="6662" max="6662" width="23.7109375" style="434" customWidth="1"/>
    <col min="6663" max="6663" width="30.7109375" style="434" bestFit="1" customWidth="1"/>
    <col min="6664" max="6664" width="24.140625" style="434" customWidth="1"/>
    <col min="6665" max="6665" width="30.42578125" style="434" customWidth="1"/>
    <col min="6666" max="6667" width="29" style="434" customWidth="1"/>
    <col min="6668" max="6668" width="22.7109375" style="434" customWidth="1"/>
    <col min="6669" max="6670" width="11.42578125" style="434"/>
    <col min="6671" max="6671" width="16.42578125" style="434" customWidth="1"/>
    <col min="6672" max="6912" width="11.42578125" style="434"/>
    <col min="6913" max="6913" width="37.28515625" style="434" customWidth="1"/>
    <col min="6914" max="6914" width="39.42578125" style="434" customWidth="1"/>
    <col min="6915" max="6915" width="35.140625" style="434" customWidth="1"/>
    <col min="6916" max="6916" width="28" style="434" customWidth="1"/>
    <col min="6917" max="6917" width="26.7109375" style="434" customWidth="1"/>
    <col min="6918" max="6918" width="23.7109375" style="434" customWidth="1"/>
    <col min="6919" max="6919" width="30.7109375" style="434" bestFit="1" customWidth="1"/>
    <col min="6920" max="6920" width="24.140625" style="434" customWidth="1"/>
    <col min="6921" max="6921" width="30.42578125" style="434" customWidth="1"/>
    <col min="6922" max="6923" width="29" style="434" customWidth="1"/>
    <col min="6924" max="6924" width="22.7109375" style="434" customWidth="1"/>
    <col min="6925" max="6926" width="11.42578125" style="434"/>
    <col min="6927" max="6927" width="16.42578125" style="434" customWidth="1"/>
    <col min="6928" max="7168" width="11.42578125" style="434"/>
    <col min="7169" max="7169" width="37.28515625" style="434" customWidth="1"/>
    <col min="7170" max="7170" width="39.42578125" style="434" customWidth="1"/>
    <col min="7171" max="7171" width="35.140625" style="434" customWidth="1"/>
    <col min="7172" max="7172" width="28" style="434" customWidth="1"/>
    <col min="7173" max="7173" width="26.7109375" style="434" customWidth="1"/>
    <col min="7174" max="7174" width="23.7109375" style="434" customWidth="1"/>
    <col min="7175" max="7175" width="30.7109375" style="434" bestFit="1" customWidth="1"/>
    <col min="7176" max="7176" width="24.140625" style="434" customWidth="1"/>
    <col min="7177" max="7177" width="30.42578125" style="434" customWidth="1"/>
    <col min="7178" max="7179" width="29" style="434" customWidth="1"/>
    <col min="7180" max="7180" width="22.7109375" style="434" customWidth="1"/>
    <col min="7181" max="7182" width="11.42578125" style="434"/>
    <col min="7183" max="7183" width="16.42578125" style="434" customWidth="1"/>
    <col min="7184" max="7424" width="11.42578125" style="434"/>
    <col min="7425" max="7425" width="37.28515625" style="434" customWidth="1"/>
    <col min="7426" max="7426" width="39.42578125" style="434" customWidth="1"/>
    <col min="7427" max="7427" width="35.140625" style="434" customWidth="1"/>
    <col min="7428" max="7428" width="28" style="434" customWidth="1"/>
    <col min="7429" max="7429" width="26.7109375" style="434" customWidth="1"/>
    <col min="7430" max="7430" width="23.7109375" style="434" customWidth="1"/>
    <col min="7431" max="7431" width="30.7109375" style="434" bestFit="1" customWidth="1"/>
    <col min="7432" max="7432" width="24.140625" style="434" customWidth="1"/>
    <col min="7433" max="7433" width="30.42578125" style="434" customWidth="1"/>
    <col min="7434" max="7435" width="29" style="434" customWidth="1"/>
    <col min="7436" max="7436" width="22.7109375" style="434" customWidth="1"/>
    <col min="7437" max="7438" width="11.42578125" style="434"/>
    <col min="7439" max="7439" width="16.42578125" style="434" customWidth="1"/>
    <col min="7440" max="7680" width="11.42578125" style="434"/>
    <col min="7681" max="7681" width="37.28515625" style="434" customWidth="1"/>
    <col min="7682" max="7682" width="39.42578125" style="434" customWidth="1"/>
    <col min="7683" max="7683" width="35.140625" style="434" customWidth="1"/>
    <col min="7684" max="7684" width="28" style="434" customWidth="1"/>
    <col min="7685" max="7685" width="26.7109375" style="434" customWidth="1"/>
    <col min="7686" max="7686" width="23.7109375" style="434" customWidth="1"/>
    <col min="7687" max="7687" width="30.7109375" style="434" bestFit="1" customWidth="1"/>
    <col min="7688" max="7688" width="24.140625" style="434" customWidth="1"/>
    <col min="7689" max="7689" width="30.42578125" style="434" customWidth="1"/>
    <col min="7690" max="7691" width="29" style="434" customWidth="1"/>
    <col min="7692" max="7692" width="22.7109375" style="434" customWidth="1"/>
    <col min="7693" max="7694" width="11.42578125" style="434"/>
    <col min="7695" max="7695" width="16.42578125" style="434" customWidth="1"/>
    <col min="7696" max="7936" width="11.42578125" style="434"/>
    <col min="7937" max="7937" width="37.28515625" style="434" customWidth="1"/>
    <col min="7938" max="7938" width="39.42578125" style="434" customWidth="1"/>
    <col min="7939" max="7939" width="35.140625" style="434" customWidth="1"/>
    <col min="7940" max="7940" width="28" style="434" customWidth="1"/>
    <col min="7941" max="7941" width="26.7109375" style="434" customWidth="1"/>
    <col min="7942" max="7942" width="23.7109375" style="434" customWidth="1"/>
    <col min="7943" max="7943" width="30.7109375" style="434" bestFit="1" customWidth="1"/>
    <col min="7944" max="7944" width="24.140625" style="434" customWidth="1"/>
    <col min="7945" max="7945" width="30.42578125" style="434" customWidth="1"/>
    <col min="7946" max="7947" width="29" style="434" customWidth="1"/>
    <col min="7948" max="7948" width="22.7109375" style="434" customWidth="1"/>
    <col min="7949" max="7950" width="11.42578125" style="434"/>
    <col min="7951" max="7951" width="16.42578125" style="434" customWidth="1"/>
    <col min="7952" max="8192" width="11.42578125" style="434"/>
    <col min="8193" max="8193" width="37.28515625" style="434" customWidth="1"/>
    <col min="8194" max="8194" width="39.42578125" style="434" customWidth="1"/>
    <col min="8195" max="8195" width="35.140625" style="434" customWidth="1"/>
    <col min="8196" max="8196" width="28" style="434" customWidth="1"/>
    <col min="8197" max="8197" width="26.7109375" style="434" customWidth="1"/>
    <col min="8198" max="8198" width="23.7109375" style="434" customWidth="1"/>
    <col min="8199" max="8199" width="30.7109375" style="434" bestFit="1" customWidth="1"/>
    <col min="8200" max="8200" width="24.140625" style="434" customWidth="1"/>
    <col min="8201" max="8201" width="30.42578125" style="434" customWidth="1"/>
    <col min="8202" max="8203" width="29" style="434" customWidth="1"/>
    <col min="8204" max="8204" width="22.7109375" style="434" customWidth="1"/>
    <col min="8205" max="8206" width="11.42578125" style="434"/>
    <col min="8207" max="8207" width="16.42578125" style="434" customWidth="1"/>
    <col min="8208" max="8448" width="11.42578125" style="434"/>
    <col min="8449" max="8449" width="37.28515625" style="434" customWidth="1"/>
    <col min="8450" max="8450" width="39.42578125" style="434" customWidth="1"/>
    <col min="8451" max="8451" width="35.140625" style="434" customWidth="1"/>
    <col min="8452" max="8452" width="28" style="434" customWidth="1"/>
    <col min="8453" max="8453" width="26.7109375" style="434" customWidth="1"/>
    <col min="8454" max="8454" width="23.7109375" style="434" customWidth="1"/>
    <col min="8455" max="8455" width="30.7109375" style="434" bestFit="1" customWidth="1"/>
    <col min="8456" max="8456" width="24.140625" style="434" customWidth="1"/>
    <col min="8457" max="8457" width="30.42578125" style="434" customWidth="1"/>
    <col min="8458" max="8459" width="29" style="434" customWidth="1"/>
    <col min="8460" max="8460" width="22.7109375" style="434" customWidth="1"/>
    <col min="8461" max="8462" width="11.42578125" style="434"/>
    <col min="8463" max="8463" width="16.42578125" style="434" customWidth="1"/>
    <col min="8464" max="8704" width="11.42578125" style="434"/>
    <col min="8705" max="8705" width="37.28515625" style="434" customWidth="1"/>
    <col min="8706" max="8706" width="39.42578125" style="434" customWidth="1"/>
    <col min="8707" max="8707" width="35.140625" style="434" customWidth="1"/>
    <col min="8708" max="8708" width="28" style="434" customWidth="1"/>
    <col min="8709" max="8709" width="26.7109375" style="434" customWidth="1"/>
    <col min="8710" max="8710" width="23.7109375" style="434" customWidth="1"/>
    <col min="8711" max="8711" width="30.7109375" style="434" bestFit="1" customWidth="1"/>
    <col min="8712" max="8712" width="24.140625" style="434" customWidth="1"/>
    <col min="8713" max="8713" width="30.42578125" style="434" customWidth="1"/>
    <col min="8714" max="8715" width="29" style="434" customWidth="1"/>
    <col min="8716" max="8716" width="22.7109375" style="434" customWidth="1"/>
    <col min="8717" max="8718" width="11.42578125" style="434"/>
    <col min="8719" max="8719" width="16.42578125" style="434" customWidth="1"/>
    <col min="8720" max="8960" width="11.42578125" style="434"/>
    <col min="8961" max="8961" width="37.28515625" style="434" customWidth="1"/>
    <col min="8962" max="8962" width="39.42578125" style="434" customWidth="1"/>
    <col min="8963" max="8963" width="35.140625" style="434" customWidth="1"/>
    <col min="8964" max="8964" width="28" style="434" customWidth="1"/>
    <col min="8965" max="8965" width="26.7109375" style="434" customWidth="1"/>
    <col min="8966" max="8966" width="23.7109375" style="434" customWidth="1"/>
    <col min="8967" max="8967" width="30.7109375" style="434" bestFit="1" customWidth="1"/>
    <col min="8968" max="8968" width="24.140625" style="434" customWidth="1"/>
    <col min="8969" max="8969" width="30.42578125" style="434" customWidth="1"/>
    <col min="8970" max="8971" width="29" style="434" customWidth="1"/>
    <col min="8972" max="8972" width="22.7109375" style="434" customWidth="1"/>
    <col min="8973" max="8974" width="11.42578125" style="434"/>
    <col min="8975" max="8975" width="16.42578125" style="434" customWidth="1"/>
    <col min="8976" max="9216" width="11.42578125" style="434"/>
    <col min="9217" max="9217" width="37.28515625" style="434" customWidth="1"/>
    <col min="9218" max="9218" width="39.42578125" style="434" customWidth="1"/>
    <col min="9219" max="9219" width="35.140625" style="434" customWidth="1"/>
    <col min="9220" max="9220" width="28" style="434" customWidth="1"/>
    <col min="9221" max="9221" width="26.7109375" style="434" customWidth="1"/>
    <col min="9222" max="9222" width="23.7109375" style="434" customWidth="1"/>
    <col min="9223" max="9223" width="30.7109375" style="434" bestFit="1" customWidth="1"/>
    <col min="9224" max="9224" width="24.140625" style="434" customWidth="1"/>
    <col min="9225" max="9225" width="30.42578125" style="434" customWidth="1"/>
    <col min="9226" max="9227" width="29" style="434" customWidth="1"/>
    <col min="9228" max="9228" width="22.7109375" style="434" customWidth="1"/>
    <col min="9229" max="9230" width="11.42578125" style="434"/>
    <col min="9231" max="9231" width="16.42578125" style="434" customWidth="1"/>
    <col min="9232" max="9472" width="11.42578125" style="434"/>
    <col min="9473" max="9473" width="37.28515625" style="434" customWidth="1"/>
    <col min="9474" max="9474" width="39.42578125" style="434" customWidth="1"/>
    <col min="9475" max="9475" width="35.140625" style="434" customWidth="1"/>
    <col min="9476" max="9476" width="28" style="434" customWidth="1"/>
    <col min="9477" max="9477" width="26.7109375" style="434" customWidth="1"/>
    <col min="9478" max="9478" width="23.7109375" style="434" customWidth="1"/>
    <col min="9479" max="9479" width="30.7109375" style="434" bestFit="1" customWidth="1"/>
    <col min="9480" max="9480" width="24.140625" style="434" customWidth="1"/>
    <col min="9481" max="9481" width="30.42578125" style="434" customWidth="1"/>
    <col min="9482" max="9483" width="29" style="434" customWidth="1"/>
    <col min="9484" max="9484" width="22.7109375" style="434" customWidth="1"/>
    <col min="9485" max="9486" width="11.42578125" style="434"/>
    <col min="9487" max="9487" width="16.42578125" style="434" customWidth="1"/>
    <col min="9488" max="9728" width="11.42578125" style="434"/>
    <col min="9729" max="9729" width="37.28515625" style="434" customWidth="1"/>
    <col min="9730" max="9730" width="39.42578125" style="434" customWidth="1"/>
    <col min="9731" max="9731" width="35.140625" style="434" customWidth="1"/>
    <col min="9732" max="9732" width="28" style="434" customWidth="1"/>
    <col min="9733" max="9733" width="26.7109375" style="434" customWidth="1"/>
    <col min="9734" max="9734" width="23.7109375" style="434" customWidth="1"/>
    <col min="9735" max="9735" width="30.7109375" style="434" bestFit="1" customWidth="1"/>
    <col min="9736" max="9736" width="24.140625" style="434" customWidth="1"/>
    <col min="9737" max="9737" width="30.42578125" style="434" customWidth="1"/>
    <col min="9738" max="9739" width="29" style="434" customWidth="1"/>
    <col min="9740" max="9740" width="22.7109375" style="434" customWidth="1"/>
    <col min="9741" max="9742" width="11.42578125" style="434"/>
    <col min="9743" max="9743" width="16.42578125" style="434" customWidth="1"/>
    <col min="9744" max="9984" width="11.42578125" style="434"/>
    <col min="9985" max="9985" width="37.28515625" style="434" customWidth="1"/>
    <col min="9986" max="9986" width="39.42578125" style="434" customWidth="1"/>
    <col min="9987" max="9987" width="35.140625" style="434" customWidth="1"/>
    <col min="9988" max="9988" width="28" style="434" customWidth="1"/>
    <col min="9989" max="9989" width="26.7109375" style="434" customWidth="1"/>
    <col min="9990" max="9990" width="23.7109375" style="434" customWidth="1"/>
    <col min="9991" max="9991" width="30.7109375" style="434" bestFit="1" customWidth="1"/>
    <col min="9992" max="9992" width="24.140625" style="434" customWidth="1"/>
    <col min="9993" max="9993" width="30.42578125" style="434" customWidth="1"/>
    <col min="9994" max="9995" width="29" style="434" customWidth="1"/>
    <col min="9996" max="9996" width="22.7109375" style="434" customWidth="1"/>
    <col min="9997" max="9998" width="11.42578125" style="434"/>
    <col min="9999" max="9999" width="16.42578125" style="434" customWidth="1"/>
    <col min="10000" max="10240" width="11.42578125" style="434"/>
    <col min="10241" max="10241" width="37.28515625" style="434" customWidth="1"/>
    <col min="10242" max="10242" width="39.42578125" style="434" customWidth="1"/>
    <col min="10243" max="10243" width="35.140625" style="434" customWidth="1"/>
    <col min="10244" max="10244" width="28" style="434" customWidth="1"/>
    <col min="10245" max="10245" width="26.7109375" style="434" customWidth="1"/>
    <col min="10246" max="10246" width="23.7109375" style="434" customWidth="1"/>
    <col min="10247" max="10247" width="30.7109375" style="434" bestFit="1" customWidth="1"/>
    <col min="10248" max="10248" width="24.140625" style="434" customWidth="1"/>
    <col min="10249" max="10249" width="30.42578125" style="434" customWidth="1"/>
    <col min="10250" max="10251" width="29" style="434" customWidth="1"/>
    <col min="10252" max="10252" width="22.7109375" style="434" customWidth="1"/>
    <col min="10253" max="10254" width="11.42578125" style="434"/>
    <col min="10255" max="10255" width="16.42578125" style="434" customWidth="1"/>
    <col min="10256" max="10496" width="11.42578125" style="434"/>
    <col min="10497" max="10497" width="37.28515625" style="434" customWidth="1"/>
    <col min="10498" max="10498" width="39.42578125" style="434" customWidth="1"/>
    <col min="10499" max="10499" width="35.140625" style="434" customWidth="1"/>
    <col min="10500" max="10500" width="28" style="434" customWidth="1"/>
    <col min="10501" max="10501" width="26.7109375" style="434" customWidth="1"/>
    <col min="10502" max="10502" width="23.7109375" style="434" customWidth="1"/>
    <col min="10503" max="10503" width="30.7109375" style="434" bestFit="1" customWidth="1"/>
    <col min="10504" max="10504" width="24.140625" style="434" customWidth="1"/>
    <col min="10505" max="10505" width="30.42578125" style="434" customWidth="1"/>
    <col min="10506" max="10507" width="29" style="434" customWidth="1"/>
    <col min="10508" max="10508" width="22.7109375" style="434" customWidth="1"/>
    <col min="10509" max="10510" width="11.42578125" style="434"/>
    <col min="10511" max="10511" width="16.42578125" style="434" customWidth="1"/>
    <col min="10512" max="10752" width="11.42578125" style="434"/>
    <col min="10753" max="10753" width="37.28515625" style="434" customWidth="1"/>
    <col min="10754" max="10754" width="39.42578125" style="434" customWidth="1"/>
    <col min="10755" max="10755" width="35.140625" style="434" customWidth="1"/>
    <col min="10756" max="10756" width="28" style="434" customWidth="1"/>
    <col min="10757" max="10757" width="26.7109375" style="434" customWidth="1"/>
    <col min="10758" max="10758" width="23.7109375" style="434" customWidth="1"/>
    <col min="10759" max="10759" width="30.7109375" style="434" bestFit="1" customWidth="1"/>
    <col min="10760" max="10760" width="24.140625" style="434" customWidth="1"/>
    <col min="10761" max="10761" width="30.42578125" style="434" customWidth="1"/>
    <col min="10762" max="10763" width="29" style="434" customWidth="1"/>
    <col min="10764" max="10764" width="22.7109375" style="434" customWidth="1"/>
    <col min="10765" max="10766" width="11.42578125" style="434"/>
    <col min="10767" max="10767" width="16.42578125" style="434" customWidth="1"/>
    <col min="10768" max="11008" width="11.42578125" style="434"/>
    <col min="11009" max="11009" width="37.28515625" style="434" customWidth="1"/>
    <col min="11010" max="11010" width="39.42578125" style="434" customWidth="1"/>
    <col min="11011" max="11011" width="35.140625" style="434" customWidth="1"/>
    <col min="11012" max="11012" width="28" style="434" customWidth="1"/>
    <col min="11013" max="11013" width="26.7109375" style="434" customWidth="1"/>
    <col min="11014" max="11014" width="23.7109375" style="434" customWidth="1"/>
    <col min="11015" max="11015" width="30.7109375" style="434" bestFit="1" customWidth="1"/>
    <col min="11016" max="11016" width="24.140625" style="434" customWidth="1"/>
    <col min="11017" max="11017" width="30.42578125" style="434" customWidth="1"/>
    <col min="11018" max="11019" width="29" style="434" customWidth="1"/>
    <col min="11020" max="11020" width="22.7109375" style="434" customWidth="1"/>
    <col min="11021" max="11022" width="11.42578125" style="434"/>
    <col min="11023" max="11023" width="16.42578125" style="434" customWidth="1"/>
    <col min="11024" max="11264" width="11.42578125" style="434"/>
    <col min="11265" max="11265" width="37.28515625" style="434" customWidth="1"/>
    <col min="11266" max="11266" width="39.42578125" style="434" customWidth="1"/>
    <col min="11267" max="11267" width="35.140625" style="434" customWidth="1"/>
    <col min="11268" max="11268" width="28" style="434" customWidth="1"/>
    <col min="11269" max="11269" width="26.7109375" style="434" customWidth="1"/>
    <col min="11270" max="11270" width="23.7109375" style="434" customWidth="1"/>
    <col min="11271" max="11271" width="30.7109375" style="434" bestFit="1" customWidth="1"/>
    <col min="11272" max="11272" width="24.140625" style="434" customWidth="1"/>
    <col min="11273" max="11273" width="30.42578125" style="434" customWidth="1"/>
    <col min="11274" max="11275" width="29" style="434" customWidth="1"/>
    <col min="11276" max="11276" width="22.7109375" style="434" customWidth="1"/>
    <col min="11277" max="11278" width="11.42578125" style="434"/>
    <col min="11279" max="11279" width="16.42578125" style="434" customWidth="1"/>
    <col min="11280" max="11520" width="11.42578125" style="434"/>
    <col min="11521" max="11521" width="37.28515625" style="434" customWidth="1"/>
    <col min="11522" max="11522" width="39.42578125" style="434" customWidth="1"/>
    <col min="11523" max="11523" width="35.140625" style="434" customWidth="1"/>
    <col min="11524" max="11524" width="28" style="434" customWidth="1"/>
    <col min="11525" max="11525" width="26.7109375" style="434" customWidth="1"/>
    <col min="11526" max="11526" width="23.7109375" style="434" customWidth="1"/>
    <col min="11527" max="11527" width="30.7109375" style="434" bestFit="1" customWidth="1"/>
    <col min="11528" max="11528" width="24.140625" style="434" customWidth="1"/>
    <col min="11529" max="11529" width="30.42578125" style="434" customWidth="1"/>
    <col min="11530" max="11531" width="29" style="434" customWidth="1"/>
    <col min="11532" max="11532" width="22.7109375" style="434" customWidth="1"/>
    <col min="11533" max="11534" width="11.42578125" style="434"/>
    <col min="11535" max="11535" width="16.42578125" style="434" customWidth="1"/>
    <col min="11536" max="11776" width="11.42578125" style="434"/>
    <col min="11777" max="11777" width="37.28515625" style="434" customWidth="1"/>
    <col min="11778" max="11778" width="39.42578125" style="434" customWidth="1"/>
    <col min="11779" max="11779" width="35.140625" style="434" customWidth="1"/>
    <col min="11780" max="11780" width="28" style="434" customWidth="1"/>
    <col min="11781" max="11781" width="26.7109375" style="434" customWidth="1"/>
    <col min="11782" max="11782" width="23.7109375" style="434" customWidth="1"/>
    <col min="11783" max="11783" width="30.7109375" style="434" bestFit="1" customWidth="1"/>
    <col min="11784" max="11784" width="24.140625" style="434" customWidth="1"/>
    <col min="11785" max="11785" width="30.42578125" style="434" customWidth="1"/>
    <col min="11786" max="11787" width="29" style="434" customWidth="1"/>
    <col min="11788" max="11788" width="22.7109375" style="434" customWidth="1"/>
    <col min="11789" max="11790" width="11.42578125" style="434"/>
    <col min="11791" max="11791" width="16.42578125" style="434" customWidth="1"/>
    <col min="11792" max="12032" width="11.42578125" style="434"/>
    <col min="12033" max="12033" width="37.28515625" style="434" customWidth="1"/>
    <col min="12034" max="12034" width="39.42578125" style="434" customWidth="1"/>
    <col min="12035" max="12035" width="35.140625" style="434" customWidth="1"/>
    <col min="12036" max="12036" width="28" style="434" customWidth="1"/>
    <col min="12037" max="12037" width="26.7109375" style="434" customWidth="1"/>
    <col min="12038" max="12038" width="23.7109375" style="434" customWidth="1"/>
    <col min="12039" max="12039" width="30.7109375" style="434" bestFit="1" customWidth="1"/>
    <col min="12040" max="12040" width="24.140625" style="434" customWidth="1"/>
    <col min="12041" max="12041" width="30.42578125" style="434" customWidth="1"/>
    <col min="12042" max="12043" width="29" style="434" customWidth="1"/>
    <col min="12044" max="12044" width="22.7109375" style="434" customWidth="1"/>
    <col min="12045" max="12046" width="11.42578125" style="434"/>
    <col min="12047" max="12047" width="16.42578125" style="434" customWidth="1"/>
    <col min="12048" max="12288" width="11.42578125" style="434"/>
    <col min="12289" max="12289" width="37.28515625" style="434" customWidth="1"/>
    <col min="12290" max="12290" width="39.42578125" style="434" customWidth="1"/>
    <col min="12291" max="12291" width="35.140625" style="434" customWidth="1"/>
    <col min="12292" max="12292" width="28" style="434" customWidth="1"/>
    <col min="12293" max="12293" width="26.7109375" style="434" customWidth="1"/>
    <col min="12294" max="12294" width="23.7109375" style="434" customWidth="1"/>
    <col min="12295" max="12295" width="30.7109375" style="434" bestFit="1" customWidth="1"/>
    <col min="12296" max="12296" width="24.140625" style="434" customWidth="1"/>
    <col min="12297" max="12297" width="30.42578125" style="434" customWidth="1"/>
    <col min="12298" max="12299" width="29" style="434" customWidth="1"/>
    <col min="12300" max="12300" width="22.7109375" style="434" customWidth="1"/>
    <col min="12301" max="12302" width="11.42578125" style="434"/>
    <col min="12303" max="12303" width="16.42578125" style="434" customWidth="1"/>
    <col min="12304" max="12544" width="11.42578125" style="434"/>
    <col min="12545" max="12545" width="37.28515625" style="434" customWidth="1"/>
    <col min="12546" max="12546" width="39.42578125" style="434" customWidth="1"/>
    <col min="12547" max="12547" width="35.140625" style="434" customWidth="1"/>
    <col min="12548" max="12548" width="28" style="434" customWidth="1"/>
    <col min="12549" max="12549" width="26.7109375" style="434" customWidth="1"/>
    <col min="12550" max="12550" width="23.7109375" style="434" customWidth="1"/>
    <col min="12551" max="12551" width="30.7109375" style="434" bestFit="1" customWidth="1"/>
    <col min="12552" max="12552" width="24.140625" style="434" customWidth="1"/>
    <col min="12553" max="12553" width="30.42578125" style="434" customWidth="1"/>
    <col min="12554" max="12555" width="29" style="434" customWidth="1"/>
    <col min="12556" max="12556" width="22.7109375" style="434" customWidth="1"/>
    <col min="12557" max="12558" width="11.42578125" style="434"/>
    <col min="12559" max="12559" width="16.42578125" style="434" customWidth="1"/>
    <col min="12560" max="12800" width="11.42578125" style="434"/>
    <col min="12801" max="12801" width="37.28515625" style="434" customWidth="1"/>
    <col min="12802" max="12802" width="39.42578125" style="434" customWidth="1"/>
    <col min="12803" max="12803" width="35.140625" style="434" customWidth="1"/>
    <col min="12804" max="12804" width="28" style="434" customWidth="1"/>
    <col min="12805" max="12805" width="26.7109375" style="434" customWidth="1"/>
    <col min="12806" max="12806" width="23.7109375" style="434" customWidth="1"/>
    <col min="12807" max="12807" width="30.7109375" style="434" bestFit="1" customWidth="1"/>
    <col min="12808" max="12808" width="24.140625" style="434" customWidth="1"/>
    <col min="12809" max="12809" width="30.42578125" style="434" customWidth="1"/>
    <col min="12810" max="12811" width="29" style="434" customWidth="1"/>
    <col min="12812" max="12812" width="22.7109375" style="434" customWidth="1"/>
    <col min="12813" max="12814" width="11.42578125" style="434"/>
    <col min="12815" max="12815" width="16.42578125" style="434" customWidth="1"/>
    <col min="12816" max="13056" width="11.42578125" style="434"/>
    <col min="13057" max="13057" width="37.28515625" style="434" customWidth="1"/>
    <col min="13058" max="13058" width="39.42578125" style="434" customWidth="1"/>
    <col min="13059" max="13059" width="35.140625" style="434" customWidth="1"/>
    <col min="13060" max="13060" width="28" style="434" customWidth="1"/>
    <col min="13061" max="13061" width="26.7109375" style="434" customWidth="1"/>
    <col min="13062" max="13062" width="23.7109375" style="434" customWidth="1"/>
    <col min="13063" max="13063" width="30.7109375" style="434" bestFit="1" customWidth="1"/>
    <col min="13064" max="13064" width="24.140625" style="434" customWidth="1"/>
    <col min="13065" max="13065" width="30.42578125" style="434" customWidth="1"/>
    <col min="13066" max="13067" width="29" style="434" customWidth="1"/>
    <col min="13068" max="13068" width="22.7109375" style="434" customWidth="1"/>
    <col min="13069" max="13070" width="11.42578125" style="434"/>
    <col min="13071" max="13071" width="16.42578125" style="434" customWidth="1"/>
    <col min="13072" max="13312" width="11.42578125" style="434"/>
    <col min="13313" max="13313" width="37.28515625" style="434" customWidth="1"/>
    <col min="13314" max="13314" width="39.42578125" style="434" customWidth="1"/>
    <col min="13315" max="13315" width="35.140625" style="434" customWidth="1"/>
    <col min="13316" max="13316" width="28" style="434" customWidth="1"/>
    <col min="13317" max="13317" width="26.7109375" style="434" customWidth="1"/>
    <col min="13318" max="13318" width="23.7109375" style="434" customWidth="1"/>
    <col min="13319" max="13319" width="30.7109375" style="434" bestFit="1" customWidth="1"/>
    <col min="13320" max="13320" width="24.140625" style="434" customWidth="1"/>
    <col min="13321" max="13321" width="30.42578125" style="434" customWidth="1"/>
    <col min="13322" max="13323" width="29" style="434" customWidth="1"/>
    <col min="13324" max="13324" width="22.7109375" style="434" customWidth="1"/>
    <col min="13325" max="13326" width="11.42578125" style="434"/>
    <col min="13327" max="13327" width="16.42578125" style="434" customWidth="1"/>
    <col min="13328" max="13568" width="11.42578125" style="434"/>
    <col min="13569" max="13569" width="37.28515625" style="434" customWidth="1"/>
    <col min="13570" max="13570" width="39.42578125" style="434" customWidth="1"/>
    <col min="13571" max="13571" width="35.140625" style="434" customWidth="1"/>
    <col min="13572" max="13572" width="28" style="434" customWidth="1"/>
    <col min="13573" max="13573" width="26.7109375" style="434" customWidth="1"/>
    <col min="13574" max="13574" width="23.7109375" style="434" customWidth="1"/>
    <col min="13575" max="13575" width="30.7109375" style="434" bestFit="1" customWidth="1"/>
    <col min="13576" max="13576" width="24.140625" style="434" customWidth="1"/>
    <col min="13577" max="13577" width="30.42578125" style="434" customWidth="1"/>
    <col min="13578" max="13579" width="29" style="434" customWidth="1"/>
    <col min="13580" max="13580" width="22.7109375" style="434" customWidth="1"/>
    <col min="13581" max="13582" width="11.42578125" style="434"/>
    <col min="13583" max="13583" width="16.42578125" style="434" customWidth="1"/>
    <col min="13584" max="13824" width="11.42578125" style="434"/>
    <col min="13825" max="13825" width="37.28515625" style="434" customWidth="1"/>
    <col min="13826" max="13826" width="39.42578125" style="434" customWidth="1"/>
    <col min="13827" max="13827" width="35.140625" style="434" customWidth="1"/>
    <col min="13828" max="13828" width="28" style="434" customWidth="1"/>
    <col min="13829" max="13829" width="26.7109375" style="434" customWidth="1"/>
    <col min="13830" max="13830" width="23.7109375" style="434" customWidth="1"/>
    <col min="13831" max="13831" width="30.7109375" style="434" bestFit="1" customWidth="1"/>
    <col min="13832" max="13832" width="24.140625" style="434" customWidth="1"/>
    <col min="13833" max="13833" width="30.42578125" style="434" customWidth="1"/>
    <col min="13834" max="13835" width="29" style="434" customWidth="1"/>
    <col min="13836" max="13836" width="22.7109375" style="434" customWidth="1"/>
    <col min="13837" max="13838" width="11.42578125" style="434"/>
    <col min="13839" max="13839" width="16.42578125" style="434" customWidth="1"/>
    <col min="13840" max="14080" width="11.42578125" style="434"/>
    <col min="14081" max="14081" width="37.28515625" style="434" customWidth="1"/>
    <col min="14082" max="14082" width="39.42578125" style="434" customWidth="1"/>
    <col min="14083" max="14083" width="35.140625" style="434" customWidth="1"/>
    <col min="14084" max="14084" width="28" style="434" customWidth="1"/>
    <col min="14085" max="14085" width="26.7109375" style="434" customWidth="1"/>
    <col min="14086" max="14086" width="23.7109375" style="434" customWidth="1"/>
    <col min="14087" max="14087" width="30.7109375" style="434" bestFit="1" customWidth="1"/>
    <col min="14088" max="14088" width="24.140625" style="434" customWidth="1"/>
    <col min="14089" max="14089" width="30.42578125" style="434" customWidth="1"/>
    <col min="14090" max="14091" width="29" style="434" customWidth="1"/>
    <col min="14092" max="14092" width="22.7109375" style="434" customWidth="1"/>
    <col min="14093" max="14094" width="11.42578125" style="434"/>
    <col min="14095" max="14095" width="16.42578125" style="434" customWidth="1"/>
    <col min="14096" max="14336" width="11.42578125" style="434"/>
    <col min="14337" max="14337" width="37.28515625" style="434" customWidth="1"/>
    <col min="14338" max="14338" width="39.42578125" style="434" customWidth="1"/>
    <col min="14339" max="14339" width="35.140625" style="434" customWidth="1"/>
    <col min="14340" max="14340" width="28" style="434" customWidth="1"/>
    <col min="14341" max="14341" width="26.7109375" style="434" customWidth="1"/>
    <col min="14342" max="14342" width="23.7109375" style="434" customWidth="1"/>
    <col min="14343" max="14343" width="30.7109375" style="434" bestFit="1" customWidth="1"/>
    <col min="14344" max="14344" width="24.140625" style="434" customWidth="1"/>
    <col min="14345" max="14345" width="30.42578125" style="434" customWidth="1"/>
    <col min="14346" max="14347" width="29" style="434" customWidth="1"/>
    <col min="14348" max="14348" width="22.7109375" style="434" customWidth="1"/>
    <col min="14349" max="14350" width="11.42578125" style="434"/>
    <col min="14351" max="14351" width="16.42578125" style="434" customWidth="1"/>
    <col min="14352" max="14592" width="11.42578125" style="434"/>
    <col min="14593" max="14593" width="37.28515625" style="434" customWidth="1"/>
    <col min="14594" max="14594" width="39.42578125" style="434" customWidth="1"/>
    <col min="14595" max="14595" width="35.140625" style="434" customWidth="1"/>
    <col min="14596" max="14596" width="28" style="434" customWidth="1"/>
    <col min="14597" max="14597" width="26.7109375" style="434" customWidth="1"/>
    <col min="14598" max="14598" width="23.7109375" style="434" customWidth="1"/>
    <col min="14599" max="14599" width="30.7109375" style="434" bestFit="1" customWidth="1"/>
    <col min="14600" max="14600" width="24.140625" style="434" customWidth="1"/>
    <col min="14601" max="14601" width="30.42578125" style="434" customWidth="1"/>
    <col min="14602" max="14603" width="29" style="434" customWidth="1"/>
    <col min="14604" max="14604" width="22.7109375" style="434" customWidth="1"/>
    <col min="14605" max="14606" width="11.42578125" style="434"/>
    <col min="14607" max="14607" width="16.42578125" style="434" customWidth="1"/>
    <col min="14608" max="14848" width="11.42578125" style="434"/>
    <col min="14849" max="14849" width="37.28515625" style="434" customWidth="1"/>
    <col min="14850" max="14850" width="39.42578125" style="434" customWidth="1"/>
    <col min="14851" max="14851" width="35.140625" style="434" customWidth="1"/>
    <col min="14852" max="14852" width="28" style="434" customWidth="1"/>
    <col min="14853" max="14853" width="26.7109375" style="434" customWidth="1"/>
    <col min="14854" max="14854" width="23.7109375" style="434" customWidth="1"/>
    <col min="14855" max="14855" width="30.7109375" style="434" bestFit="1" customWidth="1"/>
    <col min="14856" max="14856" width="24.140625" style="434" customWidth="1"/>
    <col min="14857" max="14857" width="30.42578125" style="434" customWidth="1"/>
    <col min="14858" max="14859" width="29" style="434" customWidth="1"/>
    <col min="14860" max="14860" width="22.7109375" style="434" customWidth="1"/>
    <col min="14861" max="14862" width="11.42578125" style="434"/>
    <col min="14863" max="14863" width="16.42578125" style="434" customWidth="1"/>
    <col min="14864" max="15104" width="11.42578125" style="434"/>
    <col min="15105" max="15105" width="37.28515625" style="434" customWidth="1"/>
    <col min="15106" max="15106" width="39.42578125" style="434" customWidth="1"/>
    <col min="15107" max="15107" width="35.140625" style="434" customWidth="1"/>
    <col min="15108" max="15108" width="28" style="434" customWidth="1"/>
    <col min="15109" max="15109" width="26.7109375" style="434" customWidth="1"/>
    <col min="15110" max="15110" width="23.7109375" style="434" customWidth="1"/>
    <col min="15111" max="15111" width="30.7109375" style="434" bestFit="1" customWidth="1"/>
    <col min="15112" max="15112" width="24.140625" style="434" customWidth="1"/>
    <col min="15113" max="15113" width="30.42578125" style="434" customWidth="1"/>
    <col min="15114" max="15115" width="29" style="434" customWidth="1"/>
    <col min="15116" max="15116" width="22.7109375" style="434" customWidth="1"/>
    <col min="15117" max="15118" width="11.42578125" style="434"/>
    <col min="15119" max="15119" width="16.42578125" style="434" customWidth="1"/>
    <col min="15120" max="15360" width="11.42578125" style="434"/>
    <col min="15361" max="15361" width="37.28515625" style="434" customWidth="1"/>
    <col min="15362" max="15362" width="39.42578125" style="434" customWidth="1"/>
    <col min="15363" max="15363" width="35.140625" style="434" customWidth="1"/>
    <col min="15364" max="15364" width="28" style="434" customWidth="1"/>
    <col min="15365" max="15365" width="26.7109375" style="434" customWidth="1"/>
    <col min="15366" max="15366" width="23.7109375" style="434" customWidth="1"/>
    <col min="15367" max="15367" width="30.7109375" style="434" bestFit="1" customWidth="1"/>
    <col min="15368" max="15368" width="24.140625" style="434" customWidth="1"/>
    <col min="15369" max="15369" width="30.42578125" style="434" customWidth="1"/>
    <col min="15370" max="15371" width="29" style="434" customWidth="1"/>
    <col min="15372" max="15372" width="22.7109375" style="434" customWidth="1"/>
    <col min="15373" max="15374" width="11.42578125" style="434"/>
    <col min="15375" max="15375" width="16.42578125" style="434" customWidth="1"/>
    <col min="15376" max="15616" width="11.42578125" style="434"/>
    <col min="15617" max="15617" width="37.28515625" style="434" customWidth="1"/>
    <col min="15618" max="15618" width="39.42578125" style="434" customWidth="1"/>
    <col min="15619" max="15619" width="35.140625" style="434" customWidth="1"/>
    <col min="15620" max="15620" width="28" style="434" customWidth="1"/>
    <col min="15621" max="15621" width="26.7109375" style="434" customWidth="1"/>
    <col min="15622" max="15622" width="23.7109375" style="434" customWidth="1"/>
    <col min="15623" max="15623" width="30.7109375" style="434" bestFit="1" customWidth="1"/>
    <col min="15624" max="15624" width="24.140625" style="434" customWidth="1"/>
    <col min="15625" max="15625" width="30.42578125" style="434" customWidth="1"/>
    <col min="15626" max="15627" width="29" style="434" customWidth="1"/>
    <col min="15628" max="15628" width="22.7109375" style="434" customWidth="1"/>
    <col min="15629" max="15630" width="11.42578125" style="434"/>
    <col min="15631" max="15631" width="16.42578125" style="434" customWidth="1"/>
    <col min="15632" max="15872" width="11.42578125" style="434"/>
    <col min="15873" max="15873" width="37.28515625" style="434" customWidth="1"/>
    <col min="15874" max="15874" width="39.42578125" style="434" customWidth="1"/>
    <col min="15875" max="15875" width="35.140625" style="434" customWidth="1"/>
    <col min="15876" max="15876" width="28" style="434" customWidth="1"/>
    <col min="15877" max="15877" width="26.7109375" style="434" customWidth="1"/>
    <col min="15878" max="15878" width="23.7109375" style="434" customWidth="1"/>
    <col min="15879" max="15879" width="30.7109375" style="434" bestFit="1" customWidth="1"/>
    <col min="15880" max="15880" width="24.140625" style="434" customWidth="1"/>
    <col min="15881" max="15881" width="30.42578125" style="434" customWidth="1"/>
    <col min="15882" max="15883" width="29" style="434" customWidth="1"/>
    <col min="15884" max="15884" width="22.7109375" style="434" customWidth="1"/>
    <col min="15885" max="15886" width="11.42578125" style="434"/>
    <col min="15887" max="15887" width="16.42578125" style="434" customWidth="1"/>
    <col min="15888" max="16128" width="11.42578125" style="434"/>
    <col min="16129" max="16129" width="37.28515625" style="434" customWidth="1"/>
    <col min="16130" max="16130" width="39.42578125" style="434" customWidth="1"/>
    <col min="16131" max="16131" width="35.140625" style="434" customWidth="1"/>
    <col min="16132" max="16132" width="28" style="434" customWidth="1"/>
    <col min="16133" max="16133" width="26.7109375" style="434" customWidth="1"/>
    <col min="16134" max="16134" width="23.7109375" style="434" customWidth="1"/>
    <col min="16135" max="16135" width="30.7109375" style="434" bestFit="1" customWidth="1"/>
    <col min="16136" max="16136" width="24.140625" style="434" customWidth="1"/>
    <col min="16137" max="16137" width="30.42578125" style="434" customWidth="1"/>
    <col min="16138" max="16139" width="29" style="434" customWidth="1"/>
    <col min="16140" max="16140" width="22.7109375" style="434" customWidth="1"/>
    <col min="16141" max="16142" width="11.42578125" style="434"/>
    <col min="16143" max="16143" width="16.42578125" style="434" customWidth="1"/>
    <col min="16144" max="16384" width="11.42578125" style="434"/>
  </cols>
  <sheetData>
    <row r="1" spans="1:12" ht="47.25" customHeight="1" x14ac:dyDescent="0.25">
      <c r="A1" s="2071"/>
      <c r="B1" s="2008" t="s">
        <v>1598</v>
      </c>
      <c r="C1" s="2008"/>
      <c r="D1" s="2008"/>
      <c r="E1" s="2008"/>
      <c r="F1" s="2008"/>
      <c r="G1" s="2008"/>
      <c r="H1" s="2008"/>
      <c r="I1" s="2008"/>
      <c r="J1" s="2008"/>
      <c r="K1" s="2008"/>
      <c r="L1" s="976" t="s">
        <v>1595</v>
      </c>
    </row>
    <row r="2" spans="1:12" ht="44.25" customHeight="1" x14ac:dyDescent="0.25">
      <c r="A2" s="2071"/>
      <c r="B2" s="2008"/>
      <c r="C2" s="2008"/>
      <c r="D2" s="2008"/>
      <c r="E2" s="2008"/>
      <c r="F2" s="2008"/>
      <c r="G2" s="2008"/>
      <c r="H2" s="2008"/>
      <c r="I2" s="2008"/>
      <c r="J2" s="2008"/>
      <c r="K2" s="2008"/>
      <c r="L2" s="977" t="s">
        <v>1731</v>
      </c>
    </row>
    <row r="3" spans="1:12" x14ac:dyDescent="0.25">
      <c r="I3" s="434"/>
    </row>
    <row r="4" spans="1:12" s="1152" customFormat="1" ht="21" customHeight="1" x14ac:dyDescent="0.2">
      <c r="A4" s="435" t="s">
        <v>118</v>
      </c>
      <c r="B4" s="2072" t="str">
        <f>IF(B5="Fondo de Pensiones Públicas de Bogotá – FPPB",FENECIMIENTO!D4,IF(B5="Sistema Intregado de Transporte Público-SITP",'HALLAZGOS OPINIÓN_FIN'!B4,"NO APLICA"))</f>
        <v xml:space="preserve">80000 - DIRECCIÓN SECTOR MOVILIDAD </v>
      </c>
      <c r="C4" s="2072"/>
      <c r="D4" s="2072"/>
      <c r="E4" s="2072"/>
      <c r="H4" s="1153"/>
    </row>
    <row r="5" spans="1:12" s="1152" customFormat="1" ht="27" customHeight="1" x14ac:dyDescent="0.25">
      <c r="A5" s="435" t="s">
        <v>1</v>
      </c>
      <c r="B5" s="1944" t="str">
        <f>IF(FENECIMIENTO!D5="206 - Fondo de Prestaciones Económicas, Cesantías y Pensiones – FONCEP ","Fondo de Pensiones Públicas de Bogotá – FPPB",IF(FENECIMIENTO!D5="262 - Empresa de Transporte del Tercer Milenio - Transmilenio S.A. ","Sistema Intregado de Transporte Público-SITP","NO APLICA"))</f>
        <v>Sistema Intregado de Transporte Público-SITP</v>
      </c>
      <c r="C5" s="1945"/>
      <c r="D5" s="437" t="s">
        <v>2</v>
      </c>
      <c r="E5" s="1154">
        <f>+FENECIMIENTO!K5</f>
        <v>2024</v>
      </c>
      <c r="H5" s="1153"/>
    </row>
    <row r="6" spans="1:12" s="1152" customFormat="1" x14ac:dyDescent="0.25">
      <c r="A6" s="435" t="s">
        <v>1589</v>
      </c>
      <c r="B6" s="1944">
        <f>+FENECIMIENTO!D6</f>
        <v>2025</v>
      </c>
      <c r="C6" s="1945"/>
      <c r="D6" s="437" t="s">
        <v>676</v>
      </c>
      <c r="E6" s="1154">
        <f>+FENECIMIENTO!K6</f>
        <v>87</v>
      </c>
      <c r="H6" s="1153"/>
      <c r="I6" s="1153"/>
    </row>
    <row r="7" spans="1:12" x14ac:dyDescent="0.2">
      <c r="B7" s="10"/>
      <c r="C7" s="2073"/>
      <c r="D7" s="2073"/>
      <c r="E7" s="249"/>
      <c r="F7" s="438"/>
    </row>
    <row r="8" spans="1:12" ht="168.75" customHeight="1" x14ac:dyDescent="0.25">
      <c r="A8" s="2074" t="s">
        <v>1746</v>
      </c>
      <c r="B8" s="2074"/>
      <c r="C8" s="2074"/>
      <c r="D8" s="2074"/>
      <c r="E8" s="2074"/>
      <c r="F8" s="2074"/>
      <c r="G8" s="2074"/>
      <c r="H8" s="2074"/>
    </row>
    <row r="9" spans="1:12" ht="15.75" thickBot="1" x14ac:dyDescent="0.25">
      <c r="A9" s="1152"/>
      <c r="B9" s="10"/>
      <c r="C9" s="1155"/>
      <c r="D9" s="1155"/>
      <c r="E9" s="249"/>
      <c r="F9" s="438"/>
      <c r="G9" s="1152"/>
      <c r="H9" s="1153"/>
    </row>
    <row r="10" spans="1:12" ht="24" thickBot="1" x14ac:dyDescent="0.3">
      <c r="A10" s="2075" t="s">
        <v>866</v>
      </c>
      <c r="B10" s="2076"/>
      <c r="C10" s="2076"/>
      <c r="D10" s="2076"/>
      <c r="E10" s="2077"/>
      <c r="F10" s="2076"/>
      <c r="G10" s="2076"/>
      <c r="H10" s="2078"/>
      <c r="J10" s="436"/>
      <c r="K10" s="436"/>
    </row>
    <row r="11" spans="1:12" ht="47.25" x14ac:dyDescent="0.25">
      <c r="A11" s="1156" t="s">
        <v>867</v>
      </c>
      <c r="B11" s="1156" t="s">
        <v>868</v>
      </c>
      <c r="C11" s="1157" t="s">
        <v>869</v>
      </c>
      <c r="D11" s="1158" t="s">
        <v>646</v>
      </c>
      <c r="E11" s="1159" t="s">
        <v>870</v>
      </c>
      <c r="F11" s="1160"/>
      <c r="G11" s="1161"/>
      <c r="H11" s="1153"/>
      <c r="J11" s="436"/>
      <c r="K11" s="436"/>
    </row>
    <row r="12" spans="1:12" ht="15.75" x14ac:dyDescent="0.25">
      <c r="A12" s="440" t="s">
        <v>871</v>
      </c>
      <c r="B12" s="441">
        <f>C79</f>
        <v>1000</v>
      </c>
      <c r="C12" s="1381">
        <f t="array" ref="C12">SUM(ABS(C24:C78))</f>
        <v>1000</v>
      </c>
      <c r="D12" s="1162">
        <f>D79</f>
        <v>1000</v>
      </c>
      <c r="E12" s="868">
        <f>IF(D12=0,"",D12/C12)</f>
        <v>1</v>
      </c>
      <c r="F12" s="1358"/>
      <c r="G12" s="442"/>
      <c r="I12" s="443"/>
      <c r="J12" s="443"/>
      <c r="K12" s="443"/>
    </row>
    <row r="13" spans="1:12" ht="15.75" x14ac:dyDescent="0.25">
      <c r="A13" s="440" t="s">
        <v>872</v>
      </c>
      <c r="B13" s="441">
        <f>+C122</f>
        <v>0</v>
      </c>
      <c r="C13" s="1381">
        <f t="array" ref="C13">SUM(ABS(C83:C121))</f>
        <v>0</v>
      </c>
      <c r="D13" s="1162">
        <f>D122</f>
        <v>0</v>
      </c>
      <c r="E13" s="868" t="str">
        <f>IF(D13=0,"",D13/C13)</f>
        <v/>
      </c>
      <c r="F13" s="1359"/>
      <c r="G13" s="442"/>
      <c r="I13" s="443"/>
      <c r="J13" s="443"/>
      <c r="K13" s="443"/>
    </row>
    <row r="14" spans="1:12" ht="15.75" x14ac:dyDescent="0.25">
      <c r="A14" s="444" t="s">
        <v>873</v>
      </c>
      <c r="B14" s="1377"/>
      <c r="C14" s="1380"/>
      <c r="D14" s="1379"/>
      <c r="E14" s="868" t="str">
        <f>IF(D14="","",D14/B14)</f>
        <v/>
      </c>
      <c r="F14" s="439"/>
      <c r="G14" s="442"/>
      <c r="I14" s="443"/>
      <c r="J14" s="443"/>
      <c r="K14" s="443"/>
    </row>
    <row r="15" spans="1:12" ht="15.75" x14ac:dyDescent="0.25">
      <c r="A15" s="440" t="s">
        <v>874</v>
      </c>
      <c r="B15" s="1378"/>
      <c r="C15" s="1380"/>
      <c r="D15" s="1379"/>
      <c r="E15" s="868" t="str">
        <f>IF(D15="","",D15/B15)</f>
        <v/>
      </c>
      <c r="G15" s="442"/>
      <c r="I15" s="443"/>
      <c r="J15" s="443"/>
      <c r="K15" s="443"/>
    </row>
    <row r="16" spans="1:12" ht="15.75" x14ac:dyDescent="0.25">
      <c r="A16" s="445"/>
      <c r="B16" s="446"/>
      <c r="C16" s="447"/>
      <c r="D16" s="448"/>
      <c r="E16" s="449"/>
      <c r="G16" s="442"/>
      <c r="I16" s="443"/>
      <c r="J16" s="443"/>
      <c r="K16" s="443"/>
    </row>
    <row r="17" spans="1:12" ht="132" customHeight="1" x14ac:dyDescent="0.25">
      <c r="A17" s="2079" t="s">
        <v>875</v>
      </c>
      <c r="B17" s="2079"/>
      <c r="C17" s="2079"/>
      <c r="D17" s="2079"/>
      <c r="E17" s="2079"/>
      <c r="F17" s="2079"/>
      <c r="G17" s="442"/>
      <c r="I17" s="443"/>
      <c r="J17" s="443"/>
      <c r="K17" s="443"/>
    </row>
    <row r="18" spans="1:12" x14ac:dyDescent="0.25">
      <c r="A18" s="450"/>
      <c r="B18" s="451"/>
      <c r="C18" s="451"/>
      <c r="D18" s="452"/>
      <c r="E18" s="452"/>
      <c r="F18" s="452"/>
      <c r="G18" s="452"/>
      <c r="H18" s="443"/>
      <c r="I18" s="443"/>
      <c r="J18" s="443"/>
      <c r="K18" s="443"/>
    </row>
    <row r="19" spans="1:12" ht="38.25" customHeight="1" x14ac:dyDescent="0.25">
      <c r="A19" s="2080" t="s">
        <v>876</v>
      </c>
      <c r="B19" s="2081"/>
      <c r="C19" s="2081"/>
      <c r="D19" s="2081"/>
      <c r="E19" s="2081"/>
      <c r="F19" s="2081"/>
      <c r="G19" s="2081"/>
      <c r="H19" s="2081"/>
      <c r="I19" s="2081"/>
      <c r="J19" s="2081"/>
      <c r="K19" s="2081"/>
      <c r="L19" s="2082"/>
    </row>
    <row r="20" spans="1:12" ht="18.399999999999999" customHeight="1" x14ac:dyDescent="0.25">
      <c r="A20" s="2083" t="s">
        <v>877</v>
      </c>
      <c r="B20" s="2084"/>
      <c r="C20" s="2084"/>
      <c r="D20" s="2084"/>
      <c r="E20" s="2084"/>
      <c r="F20" s="2084"/>
      <c r="G20" s="2084"/>
      <c r="H20" s="2084"/>
      <c r="I20" s="2084"/>
      <c r="J20" s="2084"/>
      <c r="K20" s="2084"/>
      <c r="L20" s="2085"/>
    </row>
    <row r="21" spans="1:12" ht="22.5" customHeight="1" thickBot="1" x14ac:dyDescent="0.3">
      <c r="A21" s="2086" t="s">
        <v>878</v>
      </c>
      <c r="B21" s="2087"/>
      <c r="C21" s="2087"/>
      <c r="D21" s="2087"/>
      <c r="E21" s="2088"/>
      <c r="F21" s="2088"/>
      <c r="G21" s="2088"/>
      <c r="H21" s="453" t="s">
        <v>879</v>
      </c>
      <c r="I21" s="454"/>
      <c r="J21" s="454"/>
      <c r="K21" s="454"/>
      <c r="L21" s="455"/>
    </row>
    <row r="22" spans="1:12" ht="17.25" customHeight="1" thickTop="1" thickBot="1" x14ac:dyDescent="0.3">
      <c r="A22" s="2097" t="s">
        <v>1712</v>
      </c>
      <c r="B22" s="2093"/>
      <c r="C22" s="2093"/>
      <c r="D22" s="2098"/>
      <c r="E22" s="2092" t="s">
        <v>880</v>
      </c>
      <c r="F22" s="2093"/>
      <c r="G22" s="2093"/>
      <c r="H22" s="2093"/>
      <c r="I22" s="2094"/>
      <c r="J22" s="456"/>
      <c r="K22" s="456"/>
      <c r="L22" s="457"/>
    </row>
    <row r="23" spans="1:12" ht="75.75" customHeight="1" thickTop="1" x14ac:dyDescent="0.25">
      <c r="A23" s="458" t="s">
        <v>881</v>
      </c>
      <c r="B23" s="459" t="s">
        <v>882</v>
      </c>
      <c r="C23" s="459" t="s">
        <v>883</v>
      </c>
      <c r="D23" s="459" t="s">
        <v>884</v>
      </c>
      <c r="E23" s="459" t="s">
        <v>885</v>
      </c>
      <c r="F23" s="459" t="s">
        <v>886</v>
      </c>
      <c r="G23" s="460" t="s">
        <v>887</v>
      </c>
      <c r="H23" s="461" t="s">
        <v>888</v>
      </c>
      <c r="I23" s="461" t="s">
        <v>889</v>
      </c>
      <c r="J23" s="461" t="s">
        <v>890</v>
      </c>
      <c r="K23" s="461" t="s">
        <v>891</v>
      </c>
      <c r="L23" s="462" t="s">
        <v>892</v>
      </c>
    </row>
    <row r="24" spans="1:12" ht="20.25" customHeight="1" x14ac:dyDescent="0.25">
      <c r="A24" s="463">
        <v>11</v>
      </c>
      <c r="B24" s="1577" t="s">
        <v>1776</v>
      </c>
      <c r="C24" s="464">
        <v>1000</v>
      </c>
      <c r="D24" s="464">
        <v>1000</v>
      </c>
      <c r="E24" s="464"/>
      <c r="F24" s="464"/>
      <c r="G24" s="465">
        <f t="shared" ref="G24:G78" si="0">+E24+F24</f>
        <v>0</v>
      </c>
      <c r="H24" s="466"/>
      <c r="I24" s="467">
        <f t="shared" ref="I24:I78" si="1">G24+H24</f>
        <v>0</v>
      </c>
      <c r="J24" s="468"/>
      <c r="K24" s="468"/>
      <c r="L24" s="469"/>
    </row>
    <row r="25" spans="1:12" ht="20.25" customHeight="1" x14ac:dyDescent="0.25">
      <c r="A25" s="463"/>
      <c r="B25" s="1577"/>
      <c r="C25" s="464"/>
      <c r="D25" s="464"/>
      <c r="E25" s="464"/>
      <c r="F25" s="464"/>
      <c r="G25" s="465">
        <f t="shared" si="0"/>
        <v>0</v>
      </c>
      <c r="H25" s="466"/>
      <c r="I25" s="467">
        <f t="shared" si="1"/>
        <v>0</v>
      </c>
      <c r="J25" s="468"/>
      <c r="K25" s="468"/>
      <c r="L25" s="469"/>
    </row>
    <row r="26" spans="1:12" ht="20.25" customHeight="1" x14ac:dyDescent="0.25">
      <c r="A26" s="463"/>
      <c r="B26" s="1577"/>
      <c r="C26" s="464"/>
      <c r="D26" s="464"/>
      <c r="E26" s="464"/>
      <c r="F26" s="464"/>
      <c r="G26" s="465">
        <f t="shared" si="0"/>
        <v>0</v>
      </c>
      <c r="H26" s="466"/>
      <c r="I26" s="467">
        <f t="shared" si="1"/>
        <v>0</v>
      </c>
      <c r="J26" s="468"/>
      <c r="K26" s="468"/>
      <c r="L26" s="469"/>
    </row>
    <row r="27" spans="1:12" ht="20.25" customHeight="1" x14ac:dyDescent="0.25">
      <c r="A27" s="463"/>
      <c r="B27" s="1577"/>
      <c r="C27" s="464"/>
      <c r="D27" s="464"/>
      <c r="E27" s="464"/>
      <c r="F27" s="464"/>
      <c r="G27" s="465">
        <f t="shared" si="0"/>
        <v>0</v>
      </c>
      <c r="H27" s="466"/>
      <c r="I27" s="467">
        <f t="shared" si="1"/>
        <v>0</v>
      </c>
      <c r="J27" s="468"/>
      <c r="K27" s="468"/>
      <c r="L27" s="469"/>
    </row>
    <row r="28" spans="1:12" ht="20.25" customHeight="1" x14ac:dyDescent="0.25">
      <c r="A28" s="463"/>
      <c r="B28" s="1577"/>
      <c r="C28" s="464"/>
      <c r="D28" s="464"/>
      <c r="E28" s="464"/>
      <c r="F28" s="464"/>
      <c r="G28" s="465">
        <f t="shared" si="0"/>
        <v>0</v>
      </c>
      <c r="H28" s="466"/>
      <c r="I28" s="467">
        <f t="shared" si="1"/>
        <v>0</v>
      </c>
      <c r="J28" s="468"/>
      <c r="K28" s="468"/>
      <c r="L28" s="469"/>
    </row>
    <row r="29" spans="1:12" ht="20.25" customHeight="1" x14ac:dyDescent="0.25">
      <c r="A29" s="463"/>
      <c r="B29" s="1577"/>
      <c r="C29" s="464"/>
      <c r="D29" s="464"/>
      <c r="E29" s="464"/>
      <c r="F29" s="464"/>
      <c r="G29" s="465">
        <f t="shared" si="0"/>
        <v>0</v>
      </c>
      <c r="H29" s="466"/>
      <c r="I29" s="467">
        <f t="shared" si="1"/>
        <v>0</v>
      </c>
      <c r="J29" s="468"/>
      <c r="K29" s="468"/>
      <c r="L29" s="469"/>
    </row>
    <row r="30" spans="1:12" ht="20.25" customHeight="1" x14ac:dyDescent="0.25">
      <c r="A30" s="463"/>
      <c r="B30" s="1577"/>
      <c r="C30" s="464"/>
      <c r="D30" s="464"/>
      <c r="E30" s="464"/>
      <c r="F30" s="464"/>
      <c r="G30" s="465">
        <f t="shared" si="0"/>
        <v>0</v>
      </c>
      <c r="H30" s="466"/>
      <c r="I30" s="467">
        <f t="shared" si="1"/>
        <v>0</v>
      </c>
      <c r="J30" s="468"/>
      <c r="K30" s="468"/>
      <c r="L30" s="469"/>
    </row>
    <row r="31" spans="1:12" ht="20.25" customHeight="1" x14ac:dyDescent="0.25">
      <c r="A31" s="463"/>
      <c r="B31" s="1577"/>
      <c r="C31" s="464"/>
      <c r="D31" s="464"/>
      <c r="E31" s="464"/>
      <c r="F31" s="464"/>
      <c r="G31" s="465">
        <f t="shared" si="0"/>
        <v>0</v>
      </c>
      <c r="H31" s="466"/>
      <c r="I31" s="467">
        <f t="shared" si="1"/>
        <v>0</v>
      </c>
      <c r="J31" s="468"/>
      <c r="K31" s="468"/>
      <c r="L31" s="469"/>
    </row>
    <row r="32" spans="1:12" ht="20.25" customHeight="1" x14ac:dyDescent="0.25">
      <c r="A32" s="463"/>
      <c r="B32" s="1577"/>
      <c r="C32" s="464"/>
      <c r="D32" s="464"/>
      <c r="E32" s="464"/>
      <c r="F32" s="464"/>
      <c r="G32" s="465">
        <f t="shared" si="0"/>
        <v>0</v>
      </c>
      <c r="H32" s="466"/>
      <c r="I32" s="467">
        <f t="shared" si="1"/>
        <v>0</v>
      </c>
      <c r="J32" s="468"/>
      <c r="K32" s="468"/>
      <c r="L32" s="469"/>
    </row>
    <row r="33" spans="1:12" ht="20.25" customHeight="1" x14ac:dyDescent="0.25">
      <c r="A33" s="463"/>
      <c r="B33" s="1577"/>
      <c r="C33" s="464"/>
      <c r="D33" s="464"/>
      <c r="E33" s="464"/>
      <c r="F33" s="464"/>
      <c r="G33" s="465">
        <f t="shared" si="0"/>
        <v>0</v>
      </c>
      <c r="H33" s="466"/>
      <c r="I33" s="467">
        <f t="shared" si="1"/>
        <v>0</v>
      </c>
      <c r="J33" s="468"/>
      <c r="K33" s="468"/>
      <c r="L33" s="469"/>
    </row>
    <row r="34" spans="1:12" ht="20.25" customHeight="1" x14ac:dyDescent="0.25">
      <c r="A34" s="463"/>
      <c r="B34" s="1577"/>
      <c r="C34" s="464"/>
      <c r="D34" s="464"/>
      <c r="E34" s="464"/>
      <c r="F34" s="464"/>
      <c r="G34" s="465">
        <f t="shared" si="0"/>
        <v>0</v>
      </c>
      <c r="H34" s="466"/>
      <c r="I34" s="467">
        <f t="shared" si="1"/>
        <v>0</v>
      </c>
      <c r="J34" s="468"/>
      <c r="K34" s="468"/>
      <c r="L34" s="469"/>
    </row>
    <row r="35" spans="1:12" ht="27.75" customHeight="1" x14ac:dyDescent="0.25">
      <c r="A35" s="463"/>
      <c r="B35" s="1577"/>
      <c r="C35" s="464"/>
      <c r="D35" s="464"/>
      <c r="E35" s="464"/>
      <c r="F35" s="464"/>
      <c r="G35" s="465">
        <f t="shared" si="0"/>
        <v>0</v>
      </c>
      <c r="H35" s="466"/>
      <c r="I35" s="467">
        <f t="shared" si="1"/>
        <v>0</v>
      </c>
      <c r="J35" s="468"/>
      <c r="K35" s="468"/>
      <c r="L35" s="469"/>
    </row>
    <row r="36" spans="1:12" ht="20.25" customHeight="1" x14ac:dyDescent="0.25">
      <c r="A36" s="463"/>
      <c r="B36" s="1577"/>
      <c r="C36" s="464"/>
      <c r="D36" s="464"/>
      <c r="E36" s="464"/>
      <c r="F36" s="464"/>
      <c r="G36" s="465">
        <f t="shared" si="0"/>
        <v>0</v>
      </c>
      <c r="H36" s="466"/>
      <c r="I36" s="467">
        <f t="shared" si="1"/>
        <v>0</v>
      </c>
      <c r="J36" s="468"/>
      <c r="K36" s="468"/>
      <c r="L36" s="469"/>
    </row>
    <row r="37" spans="1:12" ht="20.25" customHeight="1" x14ac:dyDescent="0.25">
      <c r="A37" s="463"/>
      <c r="B37" s="1577"/>
      <c r="C37" s="464"/>
      <c r="D37" s="464"/>
      <c r="E37" s="464"/>
      <c r="F37" s="464"/>
      <c r="G37" s="465">
        <f t="shared" si="0"/>
        <v>0</v>
      </c>
      <c r="H37" s="466"/>
      <c r="I37" s="467">
        <f t="shared" si="1"/>
        <v>0</v>
      </c>
      <c r="J37" s="468"/>
      <c r="K37" s="468"/>
      <c r="L37" s="469"/>
    </row>
    <row r="38" spans="1:12" ht="20.25" customHeight="1" x14ac:dyDescent="0.25">
      <c r="A38" s="463"/>
      <c r="B38" s="1577"/>
      <c r="C38" s="464"/>
      <c r="D38" s="464"/>
      <c r="E38" s="464"/>
      <c r="F38" s="464"/>
      <c r="G38" s="465">
        <f t="shared" si="0"/>
        <v>0</v>
      </c>
      <c r="H38" s="466"/>
      <c r="I38" s="467">
        <f t="shared" si="1"/>
        <v>0</v>
      </c>
      <c r="J38" s="468"/>
      <c r="K38" s="468"/>
      <c r="L38" s="469"/>
    </row>
    <row r="39" spans="1:12" ht="20.25" customHeight="1" x14ac:dyDescent="0.25">
      <c r="A39" s="463"/>
      <c r="B39" s="1577"/>
      <c r="C39" s="464"/>
      <c r="D39" s="464"/>
      <c r="E39" s="464"/>
      <c r="F39" s="464"/>
      <c r="G39" s="465">
        <f t="shared" si="0"/>
        <v>0</v>
      </c>
      <c r="H39" s="466"/>
      <c r="I39" s="467">
        <f t="shared" si="1"/>
        <v>0</v>
      </c>
      <c r="J39" s="468"/>
      <c r="K39" s="468"/>
      <c r="L39" s="469"/>
    </row>
    <row r="40" spans="1:12" ht="20.25" customHeight="1" x14ac:dyDescent="0.25">
      <c r="A40" s="463"/>
      <c r="B40" s="1577"/>
      <c r="C40" s="464"/>
      <c r="D40" s="464"/>
      <c r="E40" s="464"/>
      <c r="F40" s="464"/>
      <c r="G40" s="465">
        <f t="shared" si="0"/>
        <v>0</v>
      </c>
      <c r="H40" s="466"/>
      <c r="I40" s="467">
        <f t="shared" si="1"/>
        <v>0</v>
      </c>
      <c r="J40" s="468"/>
      <c r="K40" s="468"/>
      <c r="L40" s="469"/>
    </row>
    <row r="41" spans="1:12" ht="20.25" customHeight="1" x14ac:dyDescent="0.25">
      <c r="A41" s="463"/>
      <c r="B41" s="1577"/>
      <c r="C41" s="464"/>
      <c r="D41" s="464"/>
      <c r="E41" s="464"/>
      <c r="F41" s="464"/>
      <c r="G41" s="465">
        <f t="shared" si="0"/>
        <v>0</v>
      </c>
      <c r="H41" s="466"/>
      <c r="I41" s="467">
        <f t="shared" si="1"/>
        <v>0</v>
      </c>
      <c r="J41" s="468"/>
      <c r="K41" s="468"/>
      <c r="L41" s="469"/>
    </row>
    <row r="42" spans="1:12" ht="20.25" customHeight="1" x14ac:dyDescent="0.25">
      <c r="A42" s="463"/>
      <c r="B42" s="1577"/>
      <c r="C42" s="464"/>
      <c r="D42" s="464"/>
      <c r="E42" s="464"/>
      <c r="F42" s="464"/>
      <c r="G42" s="465">
        <f t="shared" si="0"/>
        <v>0</v>
      </c>
      <c r="H42" s="466"/>
      <c r="I42" s="467">
        <f t="shared" si="1"/>
        <v>0</v>
      </c>
      <c r="J42" s="468"/>
      <c r="K42" s="468"/>
      <c r="L42" s="469"/>
    </row>
    <row r="43" spans="1:12" ht="20.25" customHeight="1" x14ac:dyDescent="0.25">
      <c r="A43" s="463"/>
      <c r="B43" s="1577"/>
      <c r="C43" s="464"/>
      <c r="D43" s="464"/>
      <c r="E43" s="464"/>
      <c r="F43" s="464"/>
      <c r="G43" s="465">
        <f t="shared" si="0"/>
        <v>0</v>
      </c>
      <c r="H43" s="466"/>
      <c r="I43" s="467">
        <f t="shared" si="1"/>
        <v>0</v>
      </c>
      <c r="J43" s="468"/>
      <c r="K43" s="468"/>
      <c r="L43" s="469"/>
    </row>
    <row r="44" spans="1:12" ht="20.25" customHeight="1" x14ac:dyDescent="0.25">
      <c r="A44" s="463"/>
      <c r="B44" s="1577"/>
      <c r="C44" s="464"/>
      <c r="D44" s="464"/>
      <c r="E44" s="464"/>
      <c r="F44" s="464"/>
      <c r="G44" s="465">
        <f t="shared" si="0"/>
        <v>0</v>
      </c>
      <c r="H44" s="466"/>
      <c r="I44" s="467">
        <f t="shared" si="1"/>
        <v>0</v>
      </c>
      <c r="J44" s="468"/>
      <c r="K44" s="468"/>
      <c r="L44" s="469"/>
    </row>
    <row r="45" spans="1:12" ht="20.25" customHeight="1" x14ac:dyDescent="0.25">
      <c r="A45" s="463"/>
      <c r="B45" s="1577"/>
      <c r="C45" s="464"/>
      <c r="D45" s="464"/>
      <c r="E45" s="464"/>
      <c r="F45" s="464"/>
      <c r="G45" s="465">
        <f t="shared" si="0"/>
        <v>0</v>
      </c>
      <c r="H45" s="466"/>
      <c r="I45" s="467">
        <f t="shared" si="1"/>
        <v>0</v>
      </c>
      <c r="J45" s="468"/>
      <c r="K45" s="468"/>
      <c r="L45" s="469"/>
    </row>
    <row r="46" spans="1:12" ht="20.25" customHeight="1" x14ac:dyDescent="0.25">
      <c r="A46" s="463"/>
      <c r="B46" s="1577"/>
      <c r="C46" s="464"/>
      <c r="D46" s="464"/>
      <c r="E46" s="464"/>
      <c r="F46" s="464"/>
      <c r="G46" s="465">
        <f t="shared" si="0"/>
        <v>0</v>
      </c>
      <c r="H46" s="466"/>
      <c r="I46" s="467">
        <f t="shared" si="1"/>
        <v>0</v>
      </c>
      <c r="J46" s="468"/>
      <c r="K46" s="468"/>
      <c r="L46" s="469"/>
    </row>
    <row r="47" spans="1:12" ht="20.25" customHeight="1" x14ac:dyDescent="0.25">
      <c r="A47" s="463"/>
      <c r="B47" s="1577"/>
      <c r="C47" s="464"/>
      <c r="D47" s="464"/>
      <c r="E47" s="464"/>
      <c r="F47" s="464"/>
      <c r="G47" s="465">
        <f t="shared" si="0"/>
        <v>0</v>
      </c>
      <c r="H47" s="466"/>
      <c r="I47" s="467">
        <f t="shared" si="1"/>
        <v>0</v>
      </c>
      <c r="J47" s="468"/>
      <c r="K47" s="468"/>
      <c r="L47" s="469"/>
    </row>
    <row r="48" spans="1:12" ht="20.25" customHeight="1" x14ac:dyDescent="0.25">
      <c r="A48" s="463"/>
      <c r="B48" s="1577"/>
      <c r="C48" s="464"/>
      <c r="D48" s="464"/>
      <c r="E48" s="464"/>
      <c r="F48" s="464"/>
      <c r="G48" s="465">
        <f t="shared" si="0"/>
        <v>0</v>
      </c>
      <c r="H48" s="466"/>
      <c r="I48" s="467">
        <f t="shared" si="1"/>
        <v>0</v>
      </c>
      <c r="J48" s="468"/>
      <c r="K48" s="468"/>
      <c r="L48" s="469"/>
    </row>
    <row r="49" spans="1:12" ht="20.25" customHeight="1" x14ac:dyDescent="0.25">
      <c r="A49" s="463"/>
      <c r="B49" s="1577"/>
      <c r="C49" s="464"/>
      <c r="D49" s="464"/>
      <c r="E49" s="464"/>
      <c r="F49" s="464"/>
      <c r="G49" s="465">
        <f t="shared" si="0"/>
        <v>0</v>
      </c>
      <c r="H49" s="466"/>
      <c r="I49" s="467">
        <f t="shared" si="1"/>
        <v>0</v>
      </c>
      <c r="J49" s="468"/>
      <c r="K49" s="468"/>
      <c r="L49" s="469"/>
    </row>
    <row r="50" spans="1:12" ht="20.25" customHeight="1" x14ac:dyDescent="0.25">
      <c r="A50" s="463"/>
      <c r="B50" s="1577"/>
      <c r="C50" s="464"/>
      <c r="D50" s="464"/>
      <c r="E50" s="464"/>
      <c r="F50" s="464"/>
      <c r="G50" s="465">
        <f t="shared" si="0"/>
        <v>0</v>
      </c>
      <c r="H50" s="466"/>
      <c r="I50" s="467">
        <f t="shared" si="1"/>
        <v>0</v>
      </c>
      <c r="J50" s="468"/>
      <c r="K50" s="468"/>
      <c r="L50" s="469"/>
    </row>
    <row r="51" spans="1:12" ht="20.25" customHeight="1" x14ac:dyDescent="0.25">
      <c r="A51" s="463"/>
      <c r="B51" s="1577"/>
      <c r="C51" s="464"/>
      <c r="D51" s="464"/>
      <c r="E51" s="464"/>
      <c r="F51" s="464"/>
      <c r="G51" s="465">
        <f t="shared" si="0"/>
        <v>0</v>
      </c>
      <c r="H51" s="466"/>
      <c r="I51" s="467">
        <f t="shared" si="1"/>
        <v>0</v>
      </c>
      <c r="J51" s="468"/>
      <c r="K51" s="468"/>
      <c r="L51" s="469"/>
    </row>
    <row r="52" spans="1:12" ht="20.25" customHeight="1" x14ac:dyDescent="0.25">
      <c r="A52" s="463"/>
      <c r="B52" s="1577"/>
      <c r="C52" s="464"/>
      <c r="D52" s="464"/>
      <c r="E52" s="464"/>
      <c r="F52" s="464"/>
      <c r="G52" s="465">
        <f t="shared" si="0"/>
        <v>0</v>
      </c>
      <c r="H52" s="466"/>
      <c r="I52" s="467">
        <f t="shared" si="1"/>
        <v>0</v>
      </c>
      <c r="J52" s="468"/>
      <c r="K52" s="468"/>
      <c r="L52" s="469"/>
    </row>
    <row r="53" spans="1:12" ht="20.25" customHeight="1" x14ac:dyDescent="0.25">
      <c r="A53" s="463"/>
      <c r="B53" s="1577"/>
      <c r="C53" s="464"/>
      <c r="D53" s="464"/>
      <c r="E53" s="464"/>
      <c r="F53" s="464"/>
      <c r="G53" s="465">
        <f t="shared" si="0"/>
        <v>0</v>
      </c>
      <c r="H53" s="466"/>
      <c r="I53" s="467">
        <f t="shared" si="1"/>
        <v>0</v>
      </c>
      <c r="J53" s="468"/>
      <c r="K53" s="468"/>
      <c r="L53" s="469"/>
    </row>
    <row r="54" spans="1:12" ht="20.25" customHeight="1" x14ac:dyDescent="0.25">
      <c r="A54" s="463"/>
      <c r="B54" s="1577"/>
      <c r="C54" s="464"/>
      <c r="D54" s="464"/>
      <c r="E54" s="464"/>
      <c r="F54" s="464"/>
      <c r="G54" s="465">
        <f t="shared" si="0"/>
        <v>0</v>
      </c>
      <c r="H54" s="466"/>
      <c r="I54" s="467">
        <f t="shared" si="1"/>
        <v>0</v>
      </c>
      <c r="J54" s="468"/>
      <c r="K54" s="468"/>
      <c r="L54" s="469"/>
    </row>
    <row r="55" spans="1:12" ht="20.25" customHeight="1" x14ac:dyDescent="0.25">
      <c r="A55" s="463"/>
      <c r="B55" s="1577"/>
      <c r="C55" s="464"/>
      <c r="D55" s="464"/>
      <c r="E55" s="464"/>
      <c r="F55" s="464"/>
      <c r="G55" s="465">
        <f t="shared" si="0"/>
        <v>0</v>
      </c>
      <c r="H55" s="466"/>
      <c r="I55" s="467">
        <f t="shared" si="1"/>
        <v>0</v>
      </c>
      <c r="J55" s="468"/>
      <c r="K55" s="468"/>
      <c r="L55" s="469"/>
    </row>
    <row r="56" spans="1:12" ht="20.25" customHeight="1" x14ac:dyDescent="0.25">
      <c r="A56" s="463"/>
      <c r="B56" s="1577"/>
      <c r="C56" s="464"/>
      <c r="D56" s="464"/>
      <c r="E56" s="464"/>
      <c r="F56" s="464"/>
      <c r="G56" s="465">
        <f t="shared" si="0"/>
        <v>0</v>
      </c>
      <c r="H56" s="466"/>
      <c r="I56" s="467">
        <f t="shared" si="1"/>
        <v>0</v>
      </c>
      <c r="J56" s="468"/>
      <c r="K56" s="468"/>
      <c r="L56" s="469"/>
    </row>
    <row r="57" spans="1:12" ht="20.25" customHeight="1" x14ac:dyDescent="0.25">
      <c r="A57" s="463"/>
      <c r="B57" s="1577"/>
      <c r="C57" s="464"/>
      <c r="D57" s="464"/>
      <c r="E57" s="464"/>
      <c r="F57" s="464"/>
      <c r="G57" s="465">
        <f t="shared" si="0"/>
        <v>0</v>
      </c>
      <c r="H57" s="466"/>
      <c r="I57" s="467">
        <f>G57+H57</f>
        <v>0</v>
      </c>
      <c r="J57" s="468"/>
      <c r="K57" s="468"/>
      <c r="L57" s="469"/>
    </row>
    <row r="58" spans="1:12" ht="20.25" customHeight="1" x14ac:dyDescent="0.25">
      <c r="A58" s="463"/>
      <c r="B58" s="1577"/>
      <c r="C58" s="464"/>
      <c r="D58" s="464"/>
      <c r="E58" s="464"/>
      <c r="F58" s="464"/>
      <c r="G58" s="465">
        <f t="shared" si="0"/>
        <v>0</v>
      </c>
      <c r="H58" s="466"/>
      <c r="I58" s="467">
        <f t="shared" si="1"/>
        <v>0</v>
      </c>
      <c r="J58" s="468"/>
      <c r="K58" s="468"/>
      <c r="L58" s="469"/>
    </row>
    <row r="59" spans="1:12" ht="20.25" customHeight="1" x14ac:dyDescent="0.25">
      <c r="A59" s="463"/>
      <c r="B59" s="1577"/>
      <c r="C59" s="464"/>
      <c r="D59" s="464"/>
      <c r="E59" s="464"/>
      <c r="F59" s="464"/>
      <c r="G59" s="465">
        <f t="shared" si="0"/>
        <v>0</v>
      </c>
      <c r="H59" s="466"/>
      <c r="I59" s="467">
        <f t="shared" si="1"/>
        <v>0</v>
      </c>
      <c r="J59" s="468"/>
      <c r="K59" s="468"/>
      <c r="L59" s="469"/>
    </row>
    <row r="60" spans="1:12" ht="20.25" customHeight="1" x14ac:dyDescent="0.25">
      <c r="A60" s="463"/>
      <c r="B60" s="1577"/>
      <c r="C60" s="464"/>
      <c r="D60" s="464"/>
      <c r="E60" s="464"/>
      <c r="F60" s="464"/>
      <c r="G60" s="465">
        <f t="shared" si="0"/>
        <v>0</v>
      </c>
      <c r="H60" s="466"/>
      <c r="I60" s="467">
        <f t="shared" si="1"/>
        <v>0</v>
      </c>
      <c r="J60" s="468"/>
      <c r="K60" s="468"/>
      <c r="L60" s="469"/>
    </row>
    <row r="61" spans="1:12" ht="20.25" customHeight="1" x14ac:dyDescent="0.25">
      <c r="A61" s="463"/>
      <c r="B61" s="1577"/>
      <c r="C61" s="464"/>
      <c r="D61" s="464"/>
      <c r="E61" s="464"/>
      <c r="F61" s="464"/>
      <c r="G61" s="465">
        <f t="shared" si="0"/>
        <v>0</v>
      </c>
      <c r="H61" s="466"/>
      <c r="I61" s="467">
        <f t="shared" si="1"/>
        <v>0</v>
      </c>
      <c r="J61" s="468"/>
      <c r="K61" s="468"/>
      <c r="L61" s="469"/>
    </row>
    <row r="62" spans="1:12" ht="20.25" customHeight="1" x14ac:dyDescent="0.25">
      <c r="A62" s="463"/>
      <c r="B62" s="1577"/>
      <c r="C62" s="464"/>
      <c r="D62" s="464"/>
      <c r="E62" s="464"/>
      <c r="F62" s="464"/>
      <c r="G62" s="465">
        <f t="shared" si="0"/>
        <v>0</v>
      </c>
      <c r="H62" s="466"/>
      <c r="I62" s="467">
        <f t="shared" si="1"/>
        <v>0</v>
      </c>
      <c r="J62" s="468"/>
      <c r="K62" s="468"/>
      <c r="L62" s="469"/>
    </row>
    <row r="63" spans="1:12" ht="20.25" customHeight="1" x14ac:dyDescent="0.25">
      <c r="A63" s="463"/>
      <c r="B63" s="1578"/>
      <c r="C63" s="464"/>
      <c r="D63" s="464"/>
      <c r="E63" s="464"/>
      <c r="F63" s="464"/>
      <c r="G63" s="465">
        <f t="shared" si="0"/>
        <v>0</v>
      </c>
      <c r="H63" s="466"/>
      <c r="I63" s="467">
        <f t="shared" si="1"/>
        <v>0</v>
      </c>
      <c r="J63" s="468"/>
      <c r="K63" s="468"/>
      <c r="L63" s="469"/>
    </row>
    <row r="64" spans="1:12" ht="20.25" customHeight="1" x14ac:dyDescent="0.25">
      <c r="A64" s="463"/>
      <c r="B64" s="1578"/>
      <c r="C64" s="464"/>
      <c r="D64" s="464"/>
      <c r="E64" s="464"/>
      <c r="F64" s="464"/>
      <c r="G64" s="465">
        <f t="shared" si="0"/>
        <v>0</v>
      </c>
      <c r="H64" s="466"/>
      <c r="I64" s="467">
        <f t="shared" si="1"/>
        <v>0</v>
      </c>
      <c r="J64" s="468"/>
      <c r="K64" s="468"/>
      <c r="L64" s="469"/>
    </row>
    <row r="65" spans="1:12" ht="20.25" customHeight="1" x14ac:dyDescent="0.25">
      <c r="A65" s="463"/>
      <c r="B65" s="1578"/>
      <c r="C65" s="464"/>
      <c r="D65" s="464"/>
      <c r="E65" s="464"/>
      <c r="F65" s="464"/>
      <c r="G65" s="465">
        <f t="shared" si="0"/>
        <v>0</v>
      </c>
      <c r="H65" s="466"/>
      <c r="I65" s="467">
        <f t="shared" si="1"/>
        <v>0</v>
      </c>
      <c r="J65" s="468"/>
      <c r="K65" s="468"/>
      <c r="L65" s="469"/>
    </row>
    <row r="66" spans="1:12" ht="20.25" customHeight="1" x14ac:dyDescent="0.25">
      <c r="A66" s="463"/>
      <c r="B66" s="1578"/>
      <c r="C66" s="464"/>
      <c r="D66" s="464"/>
      <c r="E66" s="464"/>
      <c r="F66" s="464"/>
      <c r="G66" s="465">
        <f t="shared" si="0"/>
        <v>0</v>
      </c>
      <c r="H66" s="466"/>
      <c r="I66" s="467">
        <f t="shared" si="1"/>
        <v>0</v>
      </c>
      <c r="J66" s="468"/>
      <c r="K66" s="468"/>
      <c r="L66" s="469"/>
    </row>
    <row r="67" spans="1:12" ht="20.25" customHeight="1" x14ac:dyDescent="0.25">
      <c r="A67" s="463"/>
      <c r="B67" s="1578"/>
      <c r="C67" s="464"/>
      <c r="D67" s="464"/>
      <c r="E67" s="464"/>
      <c r="F67" s="464"/>
      <c r="G67" s="465">
        <f t="shared" si="0"/>
        <v>0</v>
      </c>
      <c r="H67" s="466"/>
      <c r="I67" s="467">
        <f t="shared" si="1"/>
        <v>0</v>
      </c>
      <c r="J67" s="468"/>
      <c r="K67" s="468"/>
      <c r="L67" s="469"/>
    </row>
    <row r="68" spans="1:12" ht="20.25" customHeight="1" x14ac:dyDescent="0.25">
      <c r="A68" s="463"/>
      <c r="B68" s="1578"/>
      <c r="C68" s="464"/>
      <c r="D68" s="464"/>
      <c r="E68" s="464"/>
      <c r="F68" s="464"/>
      <c r="G68" s="465">
        <f t="shared" si="0"/>
        <v>0</v>
      </c>
      <c r="H68" s="466"/>
      <c r="I68" s="467">
        <f t="shared" si="1"/>
        <v>0</v>
      </c>
      <c r="J68" s="468"/>
      <c r="K68" s="468"/>
      <c r="L68" s="469"/>
    </row>
    <row r="69" spans="1:12" ht="20.25" customHeight="1" x14ac:dyDescent="0.25">
      <c r="A69" s="463"/>
      <c r="B69" s="1577"/>
      <c r="C69" s="464"/>
      <c r="D69" s="464"/>
      <c r="E69" s="464"/>
      <c r="F69" s="464"/>
      <c r="G69" s="465">
        <f t="shared" si="0"/>
        <v>0</v>
      </c>
      <c r="H69" s="466"/>
      <c r="I69" s="467">
        <f t="shared" si="1"/>
        <v>0</v>
      </c>
      <c r="J69" s="468"/>
      <c r="K69" s="468"/>
      <c r="L69" s="469"/>
    </row>
    <row r="70" spans="1:12" ht="27" customHeight="1" x14ac:dyDescent="0.25">
      <c r="A70" s="463"/>
      <c r="B70" s="1577"/>
      <c r="C70" s="470"/>
      <c r="D70" s="464"/>
      <c r="E70" s="464"/>
      <c r="F70" s="464"/>
      <c r="G70" s="465">
        <f t="shared" si="0"/>
        <v>0</v>
      </c>
      <c r="H70" s="466"/>
      <c r="I70" s="467">
        <f t="shared" si="1"/>
        <v>0</v>
      </c>
      <c r="J70" s="468"/>
      <c r="K70" s="468"/>
      <c r="L70" s="469"/>
    </row>
    <row r="71" spans="1:12" ht="27" customHeight="1" x14ac:dyDescent="0.25">
      <c r="A71" s="463"/>
      <c r="B71" s="1577"/>
      <c r="C71" s="470"/>
      <c r="D71" s="464"/>
      <c r="E71" s="464"/>
      <c r="F71" s="464"/>
      <c r="G71" s="465">
        <f t="shared" si="0"/>
        <v>0</v>
      </c>
      <c r="H71" s="466"/>
      <c r="I71" s="467">
        <f t="shared" si="1"/>
        <v>0</v>
      </c>
      <c r="J71" s="468"/>
      <c r="K71" s="468"/>
      <c r="L71" s="469"/>
    </row>
    <row r="72" spans="1:12" ht="27" customHeight="1" x14ac:dyDescent="0.25">
      <c r="A72" s="463"/>
      <c r="B72" s="1577"/>
      <c r="C72" s="464"/>
      <c r="D72" s="464"/>
      <c r="E72" s="464"/>
      <c r="F72" s="464"/>
      <c r="G72" s="465">
        <f t="shared" si="0"/>
        <v>0</v>
      </c>
      <c r="H72" s="466"/>
      <c r="I72" s="467">
        <f t="shared" si="1"/>
        <v>0</v>
      </c>
      <c r="J72" s="468"/>
      <c r="K72" s="468"/>
      <c r="L72" s="469"/>
    </row>
    <row r="73" spans="1:12" ht="18" customHeight="1" x14ac:dyDescent="0.25">
      <c r="A73" s="463"/>
      <c r="B73" s="1577"/>
      <c r="C73" s="464"/>
      <c r="D73" s="464"/>
      <c r="E73" s="464"/>
      <c r="F73" s="464"/>
      <c r="G73" s="465">
        <f t="shared" si="0"/>
        <v>0</v>
      </c>
      <c r="H73" s="466"/>
      <c r="I73" s="467">
        <f t="shared" si="1"/>
        <v>0</v>
      </c>
      <c r="J73" s="468"/>
      <c r="K73" s="468"/>
      <c r="L73" s="469"/>
    </row>
    <row r="74" spans="1:12" ht="18" customHeight="1" x14ac:dyDescent="0.25">
      <c r="A74" s="463"/>
      <c r="B74" s="1577"/>
      <c r="C74" s="464"/>
      <c r="D74" s="464"/>
      <c r="E74" s="464"/>
      <c r="F74" s="464"/>
      <c r="G74" s="465">
        <f t="shared" si="0"/>
        <v>0</v>
      </c>
      <c r="H74" s="466"/>
      <c r="I74" s="467">
        <f t="shared" si="1"/>
        <v>0</v>
      </c>
      <c r="J74" s="468"/>
      <c r="K74" s="468"/>
      <c r="L74" s="469"/>
    </row>
    <row r="75" spans="1:12" ht="18" customHeight="1" x14ac:dyDescent="0.25">
      <c r="A75" s="463"/>
      <c r="B75" s="1578"/>
      <c r="C75" s="464"/>
      <c r="D75" s="464"/>
      <c r="E75" s="464"/>
      <c r="F75" s="464"/>
      <c r="G75" s="465">
        <f t="shared" si="0"/>
        <v>0</v>
      </c>
      <c r="H75" s="466"/>
      <c r="I75" s="467">
        <f t="shared" si="1"/>
        <v>0</v>
      </c>
      <c r="J75" s="468"/>
      <c r="K75" s="468"/>
      <c r="L75" s="469"/>
    </row>
    <row r="76" spans="1:12" ht="18" customHeight="1" x14ac:dyDescent="0.25">
      <c r="A76" s="463"/>
      <c r="B76" s="1577"/>
      <c r="C76" s="464"/>
      <c r="D76" s="464"/>
      <c r="E76" s="464"/>
      <c r="F76" s="464"/>
      <c r="G76" s="465">
        <f t="shared" si="0"/>
        <v>0</v>
      </c>
      <c r="H76" s="466"/>
      <c r="I76" s="467">
        <f t="shared" si="1"/>
        <v>0</v>
      </c>
      <c r="J76" s="468"/>
      <c r="K76" s="468"/>
      <c r="L76" s="469"/>
    </row>
    <row r="77" spans="1:12" ht="18" customHeight="1" x14ac:dyDescent="0.25">
      <c r="A77" s="463"/>
      <c r="B77" s="1577"/>
      <c r="C77" s="464"/>
      <c r="D77" s="464"/>
      <c r="E77" s="464"/>
      <c r="F77" s="464"/>
      <c r="G77" s="465">
        <f t="shared" si="0"/>
        <v>0</v>
      </c>
      <c r="H77" s="466"/>
      <c r="I77" s="467">
        <f t="shared" si="1"/>
        <v>0</v>
      </c>
      <c r="J77" s="468"/>
      <c r="K77" s="468"/>
      <c r="L77" s="469"/>
    </row>
    <row r="78" spans="1:12" ht="18" customHeight="1" x14ac:dyDescent="0.25">
      <c r="A78" s="463"/>
      <c r="B78" s="1577"/>
      <c r="C78" s="464"/>
      <c r="D78" s="464"/>
      <c r="E78" s="464"/>
      <c r="F78" s="464"/>
      <c r="G78" s="465">
        <f t="shared" si="0"/>
        <v>0</v>
      </c>
      <c r="H78" s="466"/>
      <c r="I78" s="467">
        <f t="shared" si="1"/>
        <v>0</v>
      </c>
      <c r="J78" s="468"/>
      <c r="K78" s="468"/>
      <c r="L78" s="469"/>
    </row>
    <row r="79" spans="1:12" x14ac:dyDescent="0.25">
      <c r="A79" s="471"/>
      <c r="B79" s="472" t="s">
        <v>896</v>
      </c>
      <c r="C79" s="473">
        <f t="shared" ref="C79:H79" si="2">SUM(C24:C78)</f>
        <v>1000</v>
      </c>
      <c r="D79" s="473">
        <f t="shared" si="2"/>
        <v>1000</v>
      </c>
      <c r="E79" s="473">
        <f t="shared" si="2"/>
        <v>0</v>
      </c>
      <c r="F79" s="473">
        <f t="shared" si="2"/>
        <v>0</v>
      </c>
      <c r="G79" s="474">
        <f t="shared" si="2"/>
        <v>0</v>
      </c>
      <c r="H79" s="475">
        <f t="shared" si="2"/>
        <v>0</v>
      </c>
      <c r="I79" s="475">
        <f>SUM(I24:I78)</f>
        <v>0</v>
      </c>
      <c r="J79" s="475"/>
      <c r="K79" s="475"/>
      <c r="L79" s="469"/>
    </row>
    <row r="80" spans="1:12" ht="15.75" thickBot="1" x14ac:dyDescent="0.3">
      <c r="A80" s="471"/>
      <c r="B80" s="476" t="s">
        <v>897</v>
      </c>
      <c r="C80" s="477"/>
      <c r="D80" s="478">
        <f>IF(D79&lt;=0,"",(D79/C79)*100)</f>
        <v>100</v>
      </c>
      <c r="E80" s="479"/>
      <c r="F80" s="479"/>
      <c r="G80" s="480">
        <f>IFERROR(IF(G79&lt;=0,0,+G79/$C$79),0)</f>
        <v>0</v>
      </c>
      <c r="H80" s="481">
        <f>IFERROR(IF(H79&lt;=0,0,+H79/C79),0)</f>
        <v>0</v>
      </c>
      <c r="I80" s="482">
        <f>IFERROR(IF(I79&lt;=0,0,I79/C79),0)</f>
        <v>0</v>
      </c>
      <c r="J80" s="483"/>
      <c r="K80" s="482"/>
      <c r="L80" s="469"/>
    </row>
    <row r="81" spans="1:12" ht="15.75" thickTop="1" x14ac:dyDescent="0.25">
      <c r="A81" s="471"/>
      <c r="B81" s="484"/>
      <c r="C81" s="484"/>
      <c r="D81" s="485"/>
      <c r="E81" s="484"/>
      <c r="F81" s="484"/>
      <c r="G81" s="486"/>
      <c r="H81" s="487"/>
      <c r="I81" s="488"/>
      <c r="J81" s="488"/>
      <c r="K81" s="488"/>
      <c r="L81" s="489"/>
    </row>
    <row r="82" spans="1:12" ht="93" customHeight="1" x14ac:dyDescent="0.25">
      <c r="A82" s="458" t="s">
        <v>881</v>
      </c>
      <c r="B82" s="490" t="s">
        <v>898</v>
      </c>
      <c r="C82" s="459" t="s">
        <v>883</v>
      </c>
      <c r="D82" s="459" t="s">
        <v>884</v>
      </c>
      <c r="E82" s="459" t="s">
        <v>885</v>
      </c>
      <c r="F82" s="459" t="s">
        <v>886</v>
      </c>
      <c r="G82" s="490" t="s">
        <v>887</v>
      </c>
      <c r="H82" s="490" t="s">
        <v>888</v>
      </c>
      <c r="I82" s="490" t="s">
        <v>889</v>
      </c>
      <c r="J82" s="490" t="s">
        <v>890</v>
      </c>
      <c r="K82" s="490" t="s">
        <v>891</v>
      </c>
      <c r="L82" s="491" t="s">
        <v>892</v>
      </c>
    </row>
    <row r="83" spans="1:12" ht="24" customHeight="1" x14ac:dyDescent="0.25">
      <c r="A83" s="463">
        <v>11</v>
      </c>
      <c r="B83" s="1577" t="s">
        <v>1776</v>
      </c>
      <c r="C83" s="1575"/>
      <c r="D83" s="492"/>
      <c r="E83" s="492"/>
      <c r="F83" s="464"/>
      <c r="G83" s="465">
        <f t="shared" ref="G83:G101" si="3">+E83+F83</f>
        <v>0</v>
      </c>
      <c r="H83" s="466"/>
      <c r="I83" s="493">
        <f t="shared" ref="I83:I97" si="4">G83+H83</f>
        <v>0</v>
      </c>
      <c r="J83" s="468"/>
      <c r="K83" s="468"/>
      <c r="L83" s="469"/>
    </row>
    <row r="84" spans="1:12" ht="24" customHeight="1" x14ac:dyDescent="0.25">
      <c r="A84" s="463"/>
      <c r="B84" s="1577"/>
      <c r="C84" s="1575"/>
      <c r="D84" s="492"/>
      <c r="E84" s="492"/>
      <c r="F84" s="464"/>
      <c r="G84" s="465">
        <f t="shared" si="3"/>
        <v>0</v>
      </c>
      <c r="H84" s="466"/>
      <c r="I84" s="493">
        <f t="shared" si="4"/>
        <v>0</v>
      </c>
      <c r="J84" s="468"/>
      <c r="K84" s="468"/>
      <c r="L84" s="469"/>
    </row>
    <row r="85" spans="1:12" ht="24" customHeight="1" x14ac:dyDescent="0.25">
      <c r="A85" s="463"/>
      <c r="B85" s="1577"/>
      <c r="C85" s="1575"/>
      <c r="D85" s="492"/>
      <c r="E85" s="492"/>
      <c r="F85" s="464"/>
      <c r="G85" s="465">
        <f t="shared" si="3"/>
        <v>0</v>
      </c>
      <c r="H85" s="466"/>
      <c r="I85" s="493">
        <f t="shared" si="4"/>
        <v>0</v>
      </c>
      <c r="J85" s="468"/>
      <c r="K85" s="468"/>
      <c r="L85" s="469"/>
    </row>
    <row r="86" spans="1:12" ht="24" customHeight="1" x14ac:dyDescent="0.25">
      <c r="A86" s="463"/>
      <c r="B86" s="1577"/>
      <c r="C86" s="1575"/>
      <c r="D86" s="492"/>
      <c r="E86" s="492"/>
      <c r="F86" s="464"/>
      <c r="G86" s="465">
        <f t="shared" si="3"/>
        <v>0</v>
      </c>
      <c r="H86" s="466"/>
      <c r="I86" s="493">
        <f t="shared" si="4"/>
        <v>0</v>
      </c>
      <c r="J86" s="468"/>
      <c r="K86" s="468"/>
      <c r="L86" s="469"/>
    </row>
    <row r="87" spans="1:12" ht="24" customHeight="1" x14ac:dyDescent="0.25">
      <c r="A87" s="463"/>
      <c r="B87" s="1577"/>
      <c r="C87" s="1575"/>
      <c r="D87" s="492"/>
      <c r="E87" s="492"/>
      <c r="F87" s="464"/>
      <c r="G87" s="465">
        <f t="shared" si="3"/>
        <v>0</v>
      </c>
      <c r="H87" s="466"/>
      <c r="I87" s="493">
        <f t="shared" si="4"/>
        <v>0</v>
      </c>
      <c r="J87" s="468"/>
      <c r="K87" s="468"/>
      <c r="L87" s="469"/>
    </row>
    <row r="88" spans="1:12" ht="24" customHeight="1" x14ac:dyDescent="0.25">
      <c r="A88" s="463"/>
      <c r="B88" s="1577"/>
      <c r="C88" s="1575"/>
      <c r="D88" s="492"/>
      <c r="E88" s="492"/>
      <c r="F88" s="464"/>
      <c r="G88" s="465">
        <f t="shared" si="3"/>
        <v>0</v>
      </c>
      <c r="H88" s="466"/>
      <c r="I88" s="493">
        <f t="shared" si="4"/>
        <v>0</v>
      </c>
      <c r="J88" s="468"/>
      <c r="K88" s="468"/>
      <c r="L88" s="469"/>
    </row>
    <row r="89" spans="1:12" ht="24" customHeight="1" x14ac:dyDescent="0.25">
      <c r="A89" s="463"/>
      <c r="B89" s="1577"/>
      <c r="C89" s="1575"/>
      <c r="D89" s="492"/>
      <c r="E89" s="492"/>
      <c r="F89" s="464"/>
      <c r="G89" s="465">
        <f t="shared" si="3"/>
        <v>0</v>
      </c>
      <c r="H89" s="466"/>
      <c r="I89" s="493">
        <f t="shared" si="4"/>
        <v>0</v>
      </c>
      <c r="J89" s="468"/>
      <c r="K89" s="468"/>
      <c r="L89" s="469"/>
    </row>
    <row r="90" spans="1:12" ht="24" customHeight="1" x14ac:dyDescent="0.25">
      <c r="A90" s="463"/>
      <c r="B90" s="1577"/>
      <c r="C90" s="1575"/>
      <c r="D90" s="492"/>
      <c r="E90" s="492"/>
      <c r="F90" s="464"/>
      <c r="G90" s="465">
        <f t="shared" si="3"/>
        <v>0</v>
      </c>
      <c r="H90" s="466"/>
      <c r="I90" s="493">
        <f t="shared" si="4"/>
        <v>0</v>
      </c>
      <c r="J90" s="468"/>
      <c r="K90" s="468"/>
      <c r="L90" s="469"/>
    </row>
    <row r="91" spans="1:12" ht="24" customHeight="1" x14ac:dyDescent="0.25">
      <c r="A91" s="463"/>
      <c r="B91" s="1577"/>
      <c r="C91" s="1575"/>
      <c r="D91" s="492"/>
      <c r="E91" s="492"/>
      <c r="F91" s="464"/>
      <c r="G91" s="465">
        <f t="shared" si="3"/>
        <v>0</v>
      </c>
      <c r="H91" s="466"/>
      <c r="I91" s="493">
        <f t="shared" si="4"/>
        <v>0</v>
      </c>
      <c r="J91" s="468"/>
      <c r="K91" s="468"/>
      <c r="L91" s="469"/>
    </row>
    <row r="92" spans="1:12" ht="24" customHeight="1" x14ac:dyDescent="0.25">
      <c r="A92" s="463"/>
      <c r="B92" s="1577"/>
      <c r="C92" s="1575"/>
      <c r="D92" s="492"/>
      <c r="E92" s="492"/>
      <c r="F92" s="464"/>
      <c r="G92" s="465">
        <f t="shared" si="3"/>
        <v>0</v>
      </c>
      <c r="H92" s="466"/>
      <c r="I92" s="493">
        <f t="shared" si="4"/>
        <v>0</v>
      </c>
      <c r="J92" s="468"/>
      <c r="K92" s="468"/>
      <c r="L92" s="469"/>
    </row>
    <row r="93" spans="1:12" ht="24" customHeight="1" x14ac:dyDescent="0.25">
      <c r="A93" s="463"/>
      <c r="B93" s="1577"/>
      <c r="C93" s="1575"/>
      <c r="D93" s="492"/>
      <c r="E93" s="492"/>
      <c r="F93" s="464"/>
      <c r="G93" s="465">
        <f t="shared" si="3"/>
        <v>0</v>
      </c>
      <c r="H93" s="466"/>
      <c r="I93" s="493">
        <f t="shared" si="4"/>
        <v>0</v>
      </c>
      <c r="J93" s="468"/>
      <c r="K93" s="468"/>
      <c r="L93" s="469"/>
    </row>
    <row r="94" spans="1:12" ht="24" customHeight="1" x14ac:dyDescent="0.25">
      <c r="A94" s="463"/>
      <c r="B94" s="1577"/>
      <c r="C94" s="1575"/>
      <c r="D94" s="492"/>
      <c r="E94" s="492"/>
      <c r="F94" s="464"/>
      <c r="G94" s="465">
        <f t="shared" si="3"/>
        <v>0</v>
      </c>
      <c r="H94" s="466"/>
      <c r="I94" s="493">
        <f t="shared" si="4"/>
        <v>0</v>
      </c>
      <c r="J94" s="468"/>
      <c r="K94" s="468"/>
      <c r="L94" s="469"/>
    </row>
    <row r="95" spans="1:12" ht="24" customHeight="1" x14ac:dyDescent="0.25">
      <c r="A95" s="463"/>
      <c r="B95" s="1577"/>
      <c r="C95" s="1575"/>
      <c r="D95" s="492"/>
      <c r="E95" s="492"/>
      <c r="F95" s="464"/>
      <c r="G95" s="465">
        <f t="shared" si="3"/>
        <v>0</v>
      </c>
      <c r="H95" s="466"/>
      <c r="I95" s="493">
        <f t="shared" si="4"/>
        <v>0</v>
      </c>
      <c r="J95" s="468"/>
      <c r="K95" s="468"/>
      <c r="L95" s="469"/>
    </row>
    <row r="96" spans="1:12" ht="24" customHeight="1" x14ac:dyDescent="0.25">
      <c r="A96" s="463"/>
      <c r="B96" s="1577"/>
      <c r="C96" s="1575"/>
      <c r="D96" s="492"/>
      <c r="E96" s="492"/>
      <c r="F96" s="464"/>
      <c r="G96" s="465">
        <f t="shared" si="3"/>
        <v>0</v>
      </c>
      <c r="H96" s="466"/>
      <c r="I96" s="493">
        <f t="shared" si="4"/>
        <v>0</v>
      </c>
      <c r="J96" s="468"/>
      <c r="K96" s="468"/>
      <c r="L96" s="469"/>
    </row>
    <row r="97" spans="1:12" ht="24" customHeight="1" x14ac:dyDescent="0.25">
      <c r="A97" s="463"/>
      <c r="B97" s="1577"/>
      <c r="C97" s="1575"/>
      <c r="D97" s="492"/>
      <c r="E97" s="492"/>
      <c r="F97" s="464"/>
      <c r="G97" s="465">
        <f t="shared" si="3"/>
        <v>0</v>
      </c>
      <c r="H97" s="466"/>
      <c r="I97" s="493">
        <f t="shared" si="4"/>
        <v>0</v>
      </c>
      <c r="J97" s="468"/>
      <c r="K97" s="468"/>
      <c r="L97" s="469"/>
    </row>
    <row r="98" spans="1:12" ht="24" customHeight="1" x14ac:dyDescent="0.25">
      <c r="A98" s="463"/>
      <c r="B98" s="1577"/>
      <c r="C98" s="1575"/>
      <c r="D98" s="492"/>
      <c r="E98" s="492"/>
      <c r="F98" s="464"/>
      <c r="G98" s="465">
        <f t="shared" si="3"/>
        <v>0</v>
      </c>
      <c r="H98" s="466"/>
      <c r="I98" s="493">
        <f>G98+H98</f>
        <v>0</v>
      </c>
      <c r="J98" s="468"/>
      <c r="K98" s="468"/>
      <c r="L98" s="469"/>
    </row>
    <row r="99" spans="1:12" ht="24" customHeight="1" x14ac:dyDescent="0.25">
      <c r="A99" s="463"/>
      <c r="B99" s="1577"/>
      <c r="C99" s="1575"/>
      <c r="D99" s="492"/>
      <c r="E99" s="492"/>
      <c r="F99" s="464"/>
      <c r="G99" s="465">
        <f t="shared" si="3"/>
        <v>0</v>
      </c>
      <c r="H99" s="466"/>
      <c r="I99" s="493">
        <f t="shared" ref="I99:I121" si="5">G99+H99</f>
        <v>0</v>
      </c>
      <c r="J99" s="468"/>
      <c r="K99" s="468"/>
      <c r="L99" s="469"/>
    </row>
    <row r="100" spans="1:12" ht="24" customHeight="1" x14ac:dyDescent="0.25">
      <c r="A100" s="463"/>
      <c r="B100" s="1577"/>
      <c r="C100" s="1575"/>
      <c r="D100" s="492"/>
      <c r="E100" s="492"/>
      <c r="F100" s="464"/>
      <c r="G100" s="465">
        <f t="shared" si="3"/>
        <v>0</v>
      </c>
      <c r="H100" s="466"/>
      <c r="I100" s="493">
        <f t="shared" si="5"/>
        <v>0</v>
      </c>
      <c r="J100" s="468"/>
      <c r="K100" s="468"/>
      <c r="L100" s="469"/>
    </row>
    <row r="101" spans="1:12" ht="24" customHeight="1" x14ac:dyDescent="0.25">
      <c r="A101" s="463"/>
      <c r="B101" s="1577"/>
      <c r="C101" s="1575"/>
      <c r="D101" s="492"/>
      <c r="E101" s="492"/>
      <c r="F101" s="464"/>
      <c r="G101" s="465">
        <f t="shared" si="3"/>
        <v>0</v>
      </c>
      <c r="H101" s="466"/>
      <c r="I101" s="493">
        <f t="shared" si="5"/>
        <v>0</v>
      </c>
      <c r="J101" s="468"/>
      <c r="K101" s="468"/>
      <c r="L101" s="469"/>
    </row>
    <row r="102" spans="1:12" ht="24" customHeight="1" x14ac:dyDescent="0.25">
      <c r="A102" s="463"/>
      <c r="B102" s="1577"/>
      <c r="C102" s="1575"/>
      <c r="D102" s="492"/>
      <c r="E102" s="492"/>
      <c r="F102" s="464"/>
      <c r="G102" s="465">
        <f t="shared" ref="G102:G121" si="6">+E102+F102</f>
        <v>0</v>
      </c>
      <c r="H102" s="466"/>
      <c r="I102" s="493">
        <f t="shared" si="5"/>
        <v>0</v>
      </c>
      <c r="J102" s="468"/>
      <c r="K102" s="468"/>
      <c r="L102" s="469"/>
    </row>
    <row r="103" spans="1:12" ht="24" customHeight="1" x14ac:dyDescent="0.25">
      <c r="A103" s="463"/>
      <c r="B103" s="1577"/>
      <c r="C103" s="1575"/>
      <c r="D103" s="492"/>
      <c r="E103" s="492"/>
      <c r="F103" s="464"/>
      <c r="G103" s="465">
        <f t="shared" si="6"/>
        <v>0</v>
      </c>
      <c r="H103" s="466"/>
      <c r="I103" s="493">
        <f t="shared" si="5"/>
        <v>0</v>
      </c>
      <c r="J103" s="468"/>
      <c r="K103" s="468"/>
      <c r="L103" s="469"/>
    </row>
    <row r="104" spans="1:12" ht="24" customHeight="1" x14ac:dyDescent="0.25">
      <c r="A104" s="463"/>
      <c r="B104" s="1577"/>
      <c r="C104" s="1576"/>
      <c r="D104" s="492"/>
      <c r="E104" s="492"/>
      <c r="F104" s="464"/>
      <c r="G104" s="465">
        <f t="shared" si="6"/>
        <v>0</v>
      </c>
      <c r="H104" s="466"/>
      <c r="I104" s="493">
        <f t="shared" si="5"/>
        <v>0</v>
      </c>
      <c r="J104" s="468"/>
      <c r="K104" s="468"/>
      <c r="L104" s="469"/>
    </row>
    <row r="105" spans="1:12" ht="24" customHeight="1" x14ac:dyDescent="0.25">
      <c r="A105" s="463"/>
      <c r="B105" s="1577"/>
      <c r="C105" s="1575"/>
      <c r="D105" s="492"/>
      <c r="E105" s="492"/>
      <c r="F105" s="464"/>
      <c r="G105" s="465">
        <f t="shared" si="6"/>
        <v>0</v>
      </c>
      <c r="H105" s="466"/>
      <c r="I105" s="493">
        <f t="shared" si="5"/>
        <v>0</v>
      </c>
      <c r="J105" s="468"/>
      <c r="K105" s="468"/>
      <c r="L105" s="469"/>
    </row>
    <row r="106" spans="1:12" ht="24" customHeight="1" x14ac:dyDescent="0.25">
      <c r="A106" s="463"/>
      <c r="B106" s="1577"/>
      <c r="C106" s="1575"/>
      <c r="D106" s="492"/>
      <c r="E106" s="492"/>
      <c r="F106" s="464"/>
      <c r="G106" s="465">
        <f t="shared" si="6"/>
        <v>0</v>
      </c>
      <c r="H106" s="466"/>
      <c r="I106" s="493">
        <f t="shared" si="5"/>
        <v>0</v>
      </c>
      <c r="J106" s="468"/>
      <c r="K106" s="468"/>
      <c r="L106" s="469"/>
    </row>
    <row r="107" spans="1:12" ht="24" customHeight="1" x14ac:dyDescent="0.25">
      <c r="A107" s="463"/>
      <c r="B107" s="1577"/>
      <c r="C107" s="1575"/>
      <c r="D107" s="492"/>
      <c r="E107" s="492"/>
      <c r="F107" s="464"/>
      <c r="G107" s="465">
        <f t="shared" si="6"/>
        <v>0</v>
      </c>
      <c r="H107" s="466"/>
      <c r="I107" s="493">
        <f t="shared" si="5"/>
        <v>0</v>
      </c>
      <c r="J107" s="468"/>
      <c r="K107" s="468"/>
      <c r="L107" s="469"/>
    </row>
    <row r="108" spans="1:12" ht="24" customHeight="1" x14ac:dyDescent="0.25">
      <c r="A108" s="463"/>
      <c r="B108" s="1577"/>
      <c r="C108" s="1575"/>
      <c r="D108" s="492"/>
      <c r="E108" s="492"/>
      <c r="F108" s="464"/>
      <c r="G108" s="465">
        <f t="shared" si="6"/>
        <v>0</v>
      </c>
      <c r="H108" s="466"/>
      <c r="I108" s="493">
        <f t="shared" si="5"/>
        <v>0</v>
      </c>
      <c r="J108" s="468"/>
      <c r="K108" s="468"/>
      <c r="L108" s="469"/>
    </row>
    <row r="109" spans="1:12" ht="24" customHeight="1" x14ac:dyDescent="0.25">
      <c r="A109" s="463"/>
      <c r="B109" s="1577"/>
      <c r="C109" s="1575"/>
      <c r="D109" s="492"/>
      <c r="E109" s="492"/>
      <c r="F109" s="464"/>
      <c r="G109" s="465">
        <f t="shared" si="6"/>
        <v>0</v>
      </c>
      <c r="H109" s="466"/>
      <c r="I109" s="493">
        <f t="shared" si="5"/>
        <v>0</v>
      </c>
      <c r="J109" s="468"/>
      <c r="K109" s="468"/>
      <c r="L109" s="469"/>
    </row>
    <row r="110" spans="1:12" ht="24" customHeight="1" x14ac:dyDescent="0.25">
      <c r="A110" s="463"/>
      <c r="B110" s="1577"/>
      <c r="C110" s="1575"/>
      <c r="D110" s="492"/>
      <c r="E110" s="492"/>
      <c r="F110" s="464"/>
      <c r="G110" s="465">
        <f t="shared" si="6"/>
        <v>0</v>
      </c>
      <c r="H110" s="466"/>
      <c r="I110" s="493">
        <f t="shared" si="5"/>
        <v>0</v>
      </c>
      <c r="J110" s="468"/>
      <c r="K110" s="468"/>
      <c r="L110" s="469"/>
    </row>
    <row r="111" spans="1:12" ht="24" customHeight="1" x14ac:dyDescent="0.25">
      <c r="A111" s="463"/>
      <c r="B111" s="1577"/>
      <c r="C111" s="1575"/>
      <c r="D111" s="492"/>
      <c r="E111" s="492"/>
      <c r="F111" s="464"/>
      <c r="G111" s="465">
        <f t="shared" si="6"/>
        <v>0</v>
      </c>
      <c r="H111" s="466"/>
      <c r="I111" s="493">
        <f t="shared" si="5"/>
        <v>0</v>
      </c>
      <c r="J111" s="468"/>
      <c r="K111" s="468"/>
      <c r="L111" s="469"/>
    </row>
    <row r="112" spans="1:12" ht="33.75" hidden="1" customHeight="1" x14ac:dyDescent="0.25">
      <c r="A112" s="463"/>
      <c r="B112" s="494"/>
      <c r="C112" s="464"/>
      <c r="D112" s="464"/>
      <c r="E112" s="464"/>
      <c r="F112" s="464"/>
      <c r="G112" s="465">
        <f t="shared" si="6"/>
        <v>0</v>
      </c>
      <c r="H112" s="466"/>
      <c r="I112" s="493">
        <f t="shared" si="5"/>
        <v>0</v>
      </c>
      <c r="J112" s="468"/>
      <c r="K112" s="468"/>
      <c r="L112" s="469"/>
    </row>
    <row r="113" spans="1:12" ht="26.25" hidden="1" customHeight="1" x14ac:dyDescent="0.25">
      <c r="A113" s="463"/>
      <c r="B113" s="494"/>
      <c r="C113" s="464"/>
      <c r="D113" s="493"/>
      <c r="E113" s="464"/>
      <c r="F113" s="464"/>
      <c r="G113" s="465">
        <f t="shared" si="6"/>
        <v>0</v>
      </c>
      <c r="H113" s="466"/>
      <c r="I113" s="493">
        <f t="shared" si="5"/>
        <v>0</v>
      </c>
      <c r="J113" s="468"/>
      <c r="K113" s="468"/>
      <c r="L113" s="469"/>
    </row>
    <row r="114" spans="1:12" ht="36" hidden="1" customHeight="1" x14ac:dyDescent="0.25">
      <c r="A114" s="463"/>
      <c r="B114" s="494"/>
      <c r="C114" s="464"/>
      <c r="D114" s="464"/>
      <c r="E114" s="464"/>
      <c r="F114" s="495"/>
      <c r="G114" s="465">
        <f t="shared" si="6"/>
        <v>0</v>
      </c>
      <c r="H114" s="466"/>
      <c r="I114" s="493">
        <f t="shared" si="5"/>
        <v>0</v>
      </c>
      <c r="J114" s="468"/>
      <c r="K114" s="468"/>
      <c r="L114" s="469"/>
    </row>
    <row r="115" spans="1:12" ht="26.25" hidden="1" customHeight="1" x14ac:dyDescent="0.25">
      <c r="A115" s="463"/>
      <c r="B115" s="494"/>
      <c r="C115" s="464"/>
      <c r="D115" s="464"/>
      <c r="E115" s="464"/>
      <c r="F115" s="464"/>
      <c r="G115" s="465">
        <f t="shared" si="6"/>
        <v>0</v>
      </c>
      <c r="H115" s="466"/>
      <c r="I115" s="493">
        <f t="shared" si="5"/>
        <v>0</v>
      </c>
      <c r="J115" s="468"/>
      <c r="K115" s="468"/>
      <c r="L115" s="469"/>
    </row>
    <row r="116" spans="1:12" ht="33" hidden="1" customHeight="1" x14ac:dyDescent="0.25">
      <c r="A116" s="463"/>
      <c r="B116" s="494"/>
      <c r="C116" s="464"/>
      <c r="D116" s="464"/>
      <c r="E116" s="464"/>
      <c r="F116" s="464"/>
      <c r="G116" s="465">
        <f t="shared" si="6"/>
        <v>0</v>
      </c>
      <c r="H116" s="466"/>
      <c r="I116" s="493">
        <f t="shared" si="5"/>
        <v>0</v>
      </c>
      <c r="J116" s="468"/>
      <c r="K116" s="468"/>
      <c r="L116" s="469"/>
    </row>
    <row r="117" spans="1:12" ht="26.25" hidden="1" customHeight="1" x14ac:dyDescent="0.25">
      <c r="A117" s="463"/>
      <c r="B117" s="494"/>
      <c r="C117" s="464"/>
      <c r="D117" s="464"/>
      <c r="E117" s="464"/>
      <c r="F117" s="464"/>
      <c r="G117" s="465">
        <f t="shared" si="6"/>
        <v>0</v>
      </c>
      <c r="H117" s="466"/>
      <c r="I117" s="493">
        <f t="shared" si="5"/>
        <v>0</v>
      </c>
      <c r="J117" s="468"/>
      <c r="K117" s="468"/>
      <c r="L117" s="469"/>
    </row>
    <row r="118" spans="1:12" ht="26.25" hidden="1" customHeight="1" x14ac:dyDescent="0.25">
      <c r="A118" s="463"/>
      <c r="B118" s="494"/>
      <c r="C118" s="464"/>
      <c r="D118" s="464"/>
      <c r="E118" s="464"/>
      <c r="F118" s="464"/>
      <c r="G118" s="465">
        <f t="shared" si="6"/>
        <v>0</v>
      </c>
      <c r="H118" s="466"/>
      <c r="I118" s="493">
        <f t="shared" si="5"/>
        <v>0</v>
      </c>
      <c r="J118" s="468"/>
      <c r="K118" s="468"/>
      <c r="L118" s="469"/>
    </row>
    <row r="119" spans="1:12" ht="26.25" hidden="1" customHeight="1" x14ac:dyDescent="0.25">
      <c r="A119" s="463"/>
      <c r="B119" s="494"/>
      <c r="C119" s="464"/>
      <c r="D119" s="464"/>
      <c r="E119" s="464"/>
      <c r="F119" s="464"/>
      <c r="G119" s="465">
        <f t="shared" si="6"/>
        <v>0</v>
      </c>
      <c r="H119" s="466"/>
      <c r="I119" s="493">
        <f t="shared" si="5"/>
        <v>0</v>
      </c>
      <c r="J119" s="468"/>
      <c r="K119" s="468"/>
      <c r="L119" s="469"/>
    </row>
    <row r="120" spans="1:12" ht="26.25" hidden="1" customHeight="1" x14ac:dyDescent="0.25">
      <c r="A120" s="463"/>
      <c r="B120" s="494"/>
      <c r="C120" s="464"/>
      <c r="D120" s="464"/>
      <c r="E120" s="464"/>
      <c r="F120" s="464"/>
      <c r="G120" s="465">
        <f t="shared" si="6"/>
        <v>0</v>
      </c>
      <c r="H120" s="466"/>
      <c r="I120" s="493">
        <f t="shared" si="5"/>
        <v>0</v>
      </c>
      <c r="J120" s="468"/>
      <c r="K120" s="468"/>
      <c r="L120" s="469"/>
    </row>
    <row r="121" spans="1:12" ht="14.25" hidden="1" x14ac:dyDescent="0.25">
      <c r="A121" s="463"/>
      <c r="B121" s="494"/>
      <c r="C121" s="464"/>
      <c r="D121" s="464"/>
      <c r="E121" s="464"/>
      <c r="F121" s="464"/>
      <c r="G121" s="465">
        <f t="shared" si="6"/>
        <v>0</v>
      </c>
      <c r="H121" s="466"/>
      <c r="I121" s="493">
        <f t="shared" si="5"/>
        <v>0</v>
      </c>
      <c r="J121" s="468"/>
      <c r="K121" s="468"/>
      <c r="L121" s="469"/>
    </row>
    <row r="122" spans="1:12" x14ac:dyDescent="0.25">
      <c r="A122" s="496"/>
      <c r="B122" s="497" t="s">
        <v>900</v>
      </c>
      <c r="C122" s="473">
        <f t="shared" ref="C122:I122" si="7">SUM(C83:C121)</f>
        <v>0</v>
      </c>
      <c r="D122" s="473">
        <f t="shared" si="7"/>
        <v>0</v>
      </c>
      <c r="E122" s="473">
        <f t="shared" si="7"/>
        <v>0</v>
      </c>
      <c r="F122" s="473">
        <f t="shared" si="7"/>
        <v>0</v>
      </c>
      <c r="G122" s="473">
        <f>SUM(G83:G121)</f>
        <v>0</v>
      </c>
      <c r="H122" s="498">
        <f t="shared" si="7"/>
        <v>0</v>
      </c>
      <c r="I122" s="498">
        <f t="shared" si="7"/>
        <v>0</v>
      </c>
      <c r="J122" s="475"/>
      <c r="K122" s="473"/>
      <c r="L122" s="499"/>
    </row>
    <row r="123" spans="1:12" ht="15.75" thickBot="1" x14ac:dyDescent="0.3">
      <c r="A123" s="2095" t="s">
        <v>901</v>
      </c>
      <c r="B123" s="2096"/>
      <c r="C123" s="500"/>
      <c r="D123" s="501">
        <f>IFERROR(IF(D122&lt;=0,0,(D122/C122)*100),"")</f>
        <v>0</v>
      </c>
      <c r="E123" s="502"/>
      <c r="F123" s="502"/>
      <c r="G123" s="480">
        <f>IFERROR(IF(G122&lt;=0,0,G122/C122),0)</f>
        <v>0</v>
      </c>
      <c r="H123" s="503">
        <f>IFERROR(IF(H122&lt;=0,0,H122/C122),0)</f>
        <v>0</v>
      </c>
      <c r="I123" s="504">
        <f>IFERROR(IF(I122&lt;=0,0,I122/C122),0)</f>
        <v>0</v>
      </c>
      <c r="J123" s="505"/>
      <c r="K123" s="483"/>
      <c r="L123" s="499"/>
    </row>
    <row r="124" spans="1:12" ht="16.5" customHeight="1" thickTop="1" thickBot="1" x14ac:dyDescent="0.3">
      <c r="A124" s="2056" t="s">
        <v>902</v>
      </c>
      <c r="B124" s="2057"/>
      <c r="C124" s="506"/>
      <c r="D124" s="507"/>
      <c r="E124" s="506"/>
      <c r="F124" s="506"/>
      <c r="G124" s="508">
        <f>IF(G123&gt;=G80,G123,G80)</f>
        <v>0</v>
      </c>
      <c r="H124" s="509">
        <f>IF(H123&gt;=H80,H123,H80)</f>
        <v>0</v>
      </c>
      <c r="I124" s="509">
        <f>IFERROR(G124+H124,"")</f>
        <v>0</v>
      </c>
      <c r="J124" s="510"/>
      <c r="K124" s="483"/>
      <c r="L124" s="511"/>
    </row>
    <row r="125" spans="1:12" ht="15.75" customHeight="1" thickTop="1" thickBot="1" x14ac:dyDescent="0.3">
      <c r="A125" s="2056" t="s">
        <v>903</v>
      </c>
      <c r="B125" s="2057"/>
      <c r="C125" s="492"/>
      <c r="D125" s="512"/>
      <c r="E125" s="512"/>
      <c r="F125" s="512"/>
      <c r="G125" s="513">
        <f>IF(G122&gt;=G79,G122,G79)</f>
        <v>0</v>
      </c>
      <c r="H125" s="513">
        <f>IF(H122&gt;=H79,H122,H79)</f>
        <v>0</v>
      </c>
      <c r="I125" s="498">
        <f>IFERROR(G125+H125,"")</f>
        <v>0</v>
      </c>
      <c r="J125" s="514"/>
      <c r="K125" s="514"/>
      <c r="L125" s="499"/>
    </row>
    <row r="126" spans="1:12" s="439" customFormat="1" ht="15.75" customHeight="1" x14ac:dyDescent="0.25">
      <c r="A126" s="515"/>
      <c r="B126" s="515"/>
      <c r="C126" s="1345"/>
      <c r="D126" s="516"/>
      <c r="E126" s="516"/>
      <c r="F126" s="516"/>
      <c r="G126" s="517"/>
      <c r="H126" s="517"/>
      <c r="I126" s="518"/>
      <c r="J126" s="519"/>
      <c r="K126" s="519"/>
      <c r="L126" s="520"/>
    </row>
    <row r="127" spans="1:12" s="439" customFormat="1" ht="237.75" customHeight="1" x14ac:dyDescent="0.25">
      <c r="A127" s="2058" t="s">
        <v>904</v>
      </c>
      <c r="B127" s="2058"/>
      <c r="C127" s="2058"/>
      <c r="D127" s="2058"/>
      <c r="E127" s="2058"/>
      <c r="F127" s="2058"/>
      <c r="G127" s="2058"/>
      <c r="H127" s="2058"/>
      <c r="I127" s="2058"/>
      <c r="J127" s="2058"/>
      <c r="K127" s="2058"/>
      <c r="L127" s="2058"/>
    </row>
    <row r="128" spans="1:12" s="439" customFormat="1" ht="14.25" x14ac:dyDescent="0.25">
      <c r="A128" s="521"/>
      <c r="B128" s="521"/>
      <c r="C128" s="521"/>
      <c r="D128" s="521"/>
      <c r="E128" s="521"/>
      <c r="F128" s="521"/>
      <c r="G128" s="521"/>
      <c r="H128" s="521"/>
      <c r="I128" s="521"/>
      <c r="J128" s="521"/>
      <c r="K128" s="521"/>
      <c r="L128" s="521"/>
    </row>
    <row r="129" spans="1:12" s="439" customFormat="1" ht="295.5" customHeight="1" x14ac:dyDescent="0.25">
      <c r="A129" s="2058" t="s">
        <v>905</v>
      </c>
      <c r="B129" s="2058"/>
      <c r="C129" s="2058"/>
      <c r="D129" s="2058"/>
      <c r="E129" s="2058"/>
      <c r="F129" s="2058"/>
      <c r="G129" s="2058"/>
      <c r="H129" s="2058"/>
      <c r="I129" s="2058"/>
      <c r="J129" s="2058"/>
      <c r="K129" s="2058"/>
      <c r="L129" s="2058"/>
    </row>
    <row r="130" spans="1:12" s="439" customFormat="1" ht="14.25" customHeight="1" x14ac:dyDescent="0.25">
      <c r="A130" s="515"/>
      <c r="B130" s="515"/>
      <c r="C130" s="516"/>
      <c r="D130" s="516"/>
      <c r="E130" s="516"/>
      <c r="F130" s="516"/>
      <c r="G130" s="517"/>
      <c r="H130" s="517"/>
      <c r="I130" s="518"/>
      <c r="J130" s="519"/>
      <c r="K130" s="519"/>
      <c r="L130" s="520"/>
    </row>
    <row r="131" spans="1:12" ht="6.75" customHeight="1" x14ac:dyDescent="0.25">
      <c r="A131" s="522"/>
      <c r="B131" s="512"/>
      <c r="C131" s="512"/>
      <c r="D131" s="512"/>
      <c r="E131" s="512"/>
      <c r="F131" s="512"/>
      <c r="G131" s="519"/>
      <c r="H131" s="519"/>
      <c r="I131" s="519"/>
      <c r="J131" s="522"/>
      <c r="K131" s="522"/>
      <c r="L131" s="489"/>
    </row>
    <row r="132" spans="1:12" ht="44.25" customHeight="1" x14ac:dyDescent="0.25">
      <c r="A132" s="2059" t="s">
        <v>906</v>
      </c>
      <c r="B132" s="2060"/>
      <c r="C132" s="2060"/>
      <c r="D132" s="2060"/>
      <c r="E132" s="2060"/>
      <c r="F132" s="2061"/>
      <c r="G132" s="2062"/>
      <c r="H132" s="2062"/>
      <c r="I132" s="2062"/>
      <c r="J132" s="2062"/>
      <c r="K132" s="2062"/>
      <c r="L132" s="2063"/>
    </row>
    <row r="133" spans="1:12" ht="46.5" customHeight="1" thickBot="1" x14ac:dyDescent="0.3">
      <c r="A133" s="523" t="s">
        <v>907</v>
      </c>
      <c r="B133" s="523" t="s">
        <v>908</v>
      </c>
      <c r="C133" s="523" t="s">
        <v>909</v>
      </c>
      <c r="D133" s="523" t="s">
        <v>910</v>
      </c>
      <c r="E133" s="523" t="s">
        <v>911</v>
      </c>
      <c r="F133" s="523" t="s">
        <v>912</v>
      </c>
      <c r="G133" s="321"/>
      <c r="H133" s="524"/>
      <c r="I133" s="525"/>
      <c r="J133" s="525"/>
      <c r="K133" s="321"/>
      <c r="L133" s="526"/>
    </row>
    <row r="134" spans="1:12" ht="69" customHeight="1" thickBot="1" x14ac:dyDescent="0.3">
      <c r="A134" s="527" t="s">
        <v>913</v>
      </c>
      <c r="B134" s="528" t="s">
        <v>914</v>
      </c>
      <c r="C134" s="529" t="s">
        <v>915</v>
      </c>
      <c r="D134" s="529" t="s">
        <v>916</v>
      </c>
      <c r="E134" s="530">
        <v>100</v>
      </c>
      <c r="F134" s="531" t="s">
        <v>497</v>
      </c>
      <c r="G134" s="532"/>
      <c r="H134" s="533"/>
      <c r="I134" s="534"/>
      <c r="J134" s="535"/>
      <c r="K134" s="533"/>
      <c r="L134" s="536"/>
    </row>
    <row r="135" spans="1:12" ht="79.5" customHeight="1" thickBot="1" x14ac:dyDescent="0.3">
      <c r="A135" s="527" t="s">
        <v>917</v>
      </c>
      <c r="B135" s="528" t="s">
        <v>918</v>
      </c>
      <c r="C135" s="529" t="s">
        <v>919</v>
      </c>
      <c r="D135" s="529" t="s">
        <v>920</v>
      </c>
      <c r="E135" s="530">
        <v>75</v>
      </c>
      <c r="F135" s="531" t="s">
        <v>497</v>
      </c>
      <c r="H135" s="434"/>
      <c r="I135" s="434"/>
      <c r="L135" s="489"/>
    </row>
    <row r="136" spans="1:12" ht="81.75" customHeight="1" thickBot="1" x14ac:dyDescent="0.3">
      <c r="A136" s="527" t="s">
        <v>921</v>
      </c>
      <c r="B136" s="528" t="s">
        <v>922</v>
      </c>
      <c r="C136" s="537" t="s">
        <v>923</v>
      </c>
      <c r="D136" s="537" t="s">
        <v>924</v>
      </c>
      <c r="E136" s="530">
        <v>0</v>
      </c>
      <c r="F136" s="531" t="s">
        <v>512</v>
      </c>
      <c r="H136" s="434"/>
      <c r="I136" s="434"/>
      <c r="L136" s="489"/>
    </row>
    <row r="137" spans="1:12" ht="84.75" customHeight="1" thickBot="1" x14ac:dyDescent="0.3">
      <c r="A137" s="527" t="s">
        <v>925</v>
      </c>
      <c r="B137" s="538"/>
      <c r="C137" s="537" t="s">
        <v>924</v>
      </c>
      <c r="D137" s="537" t="s">
        <v>924</v>
      </c>
      <c r="E137" s="530">
        <v>0</v>
      </c>
      <c r="F137" s="531" t="s">
        <v>512</v>
      </c>
      <c r="H137" s="434"/>
      <c r="I137" s="434"/>
      <c r="L137" s="489"/>
    </row>
    <row r="138" spans="1:12" ht="24" customHeight="1" x14ac:dyDescent="0.25">
      <c r="A138" s="539"/>
      <c r="B138" s="540"/>
      <c r="C138" s="541"/>
      <c r="D138" s="541"/>
      <c r="E138" s="540"/>
      <c r="F138" s="540"/>
      <c r="H138" s="434"/>
      <c r="I138" s="434"/>
      <c r="L138" s="489"/>
    </row>
    <row r="139" spans="1:12" ht="33.75" customHeight="1" x14ac:dyDescent="0.25">
      <c r="A139" s="2064" t="s">
        <v>926</v>
      </c>
      <c r="B139" s="2065"/>
      <c r="C139" s="2065"/>
      <c r="D139" s="2065"/>
      <c r="E139" s="2065"/>
      <c r="F139" s="2065"/>
      <c r="G139" s="2065"/>
      <c r="H139" s="2065"/>
      <c r="I139" s="2065"/>
      <c r="J139" s="2065"/>
      <c r="K139" s="2065"/>
      <c r="L139" s="542"/>
    </row>
    <row r="140" spans="1:12" ht="61.5" customHeight="1" x14ac:dyDescent="0.25">
      <c r="A140" s="2066" t="s">
        <v>927</v>
      </c>
      <c r="B140" s="2066"/>
      <c r="C140" s="543" t="s">
        <v>928</v>
      </c>
      <c r="D140" s="543" t="s">
        <v>929</v>
      </c>
      <c r="E140" s="544" t="s">
        <v>930</v>
      </c>
      <c r="F140" s="545" t="s">
        <v>928</v>
      </c>
      <c r="G140" s="543" t="s">
        <v>929</v>
      </c>
      <c r="H140" s="546"/>
      <c r="I140" s="544" t="s">
        <v>931</v>
      </c>
      <c r="J140" s="543" t="s">
        <v>928</v>
      </c>
      <c r="K140" s="543" t="s">
        <v>929</v>
      </c>
      <c r="L140" s="542"/>
    </row>
    <row r="141" spans="1:12" ht="95.25" customHeight="1" x14ac:dyDescent="0.25">
      <c r="A141" s="2067" t="s">
        <v>932</v>
      </c>
      <c r="B141" s="2068"/>
      <c r="C141" s="547">
        <f>G79/I150</f>
        <v>0</v>
      </c>
      <c r="D141" s="547">
        <f>G80/H150</f>
        <v>0</v>
      </c>
      <c r="E141" s="548" t="s">
        <v>933</v>
      </c>
      <c r="F141" s="547">
        <f>H79/I150</f>
        <v>0</v>
      </c>
      <c r="G141" s="547">
        <f>H80/H150</f>
        <v>0</v>
      </c>
      <c r="H141" s="546"/>
      <c r="I141" s="548" t="s">
        <v>934</v>
      </c>
      <c r="J141" s="547">
        <f>I79/I150</f>
        <v>0</v>
      </c>
      <c r="K141" s="547">
        <f>I80/H150</f>
        <v>0</v>
      </c>
      <c r="L141" s="542"/>
    </row>
    <row r="142" spans="1:12" ht="106.5" customHeight="1" x14ac:dyDescent="0.25">
      <c r="A142" s="2067" t="s">
        <v>935</v>
      </c>
      <c r="B142" s="2068"/>
      <c r="C142" s="547">
        <f>G122/I150</f>
        <v>0</v>
      </c>
      <c r="D142" s="547">
        <f>G123/H150</f>
        <v>0</v>
      </c>
      <c r="E142" s="548" t="s">
        <v>936</v>
      </c>
      <c r="F142" s="547">
        <f>H122/I150</f>
        <v>0</v>
      </c>
      <c r="G142" s="547">
        <f>H123/H150</f>
        <v>0</v>
      </c>
      <c r="H142" s="546"/>
      <c r="I142" s="548" t="s">
        <v>937</v>
      </c>
      <c r="J142" s="547">
        <f>I122/I150</f>
        <v>0</v>
      </c>
      <c r="K142" s="547">
        <f>I123/H150</f>
        <v>0</v>
      </c>
      <c r="L142" s="542"/>
    </row>
    <row r="143" spans="1:12" ht="18" x14ac:dyDescent="0.25">
      <c r="A143" s="549"/>
      <c r="B143" s="550"/>
      <c r="C143" s="550"/>
      <c r="D143" s="550"/>
      <c r="E143" s="550"/>
      <c r="G143" s="551"/>
      <c r="H143" s="434"/>
      <c r="I143" s="551"/>
      <c r="L143" s="542"/>
    </row>
    <row r="144" spans="1:12" ht="66.75" customHeight="1" x14ac:dyDescent="0.25">
      <c r="A144" s="2069" t="s">
        <v>938</v>
      </c>
      <c r="B144" s="2069"/>
      <c r="C144" s="552">
        <f>IF(C141&gt;C142,C141,C142)</f>
        <v>0</v>
      </c>
      <c r="D144" s="552">
        <f>IF(D141&gt;D142,D141,D142)</f>
        <v>0</v>
      </c>
      <c r="E144" s="553" t="s">
        <v>938</v>
      </c>
      <c r="F144" s="552">
        <f>IF(F141&gt;F142,F141,F142)</f>
        <v>0</v>
      </c>
      <c r="G144" s="552">
        <f>IF(G141&gt;G142,G141,G142)</f>
        <v>0</v>
      </c>
      <c r="H144" s="554"/>
      <c r="I144" s="555" t="s">
        <v>938</v>
      </c>
      <c r="J144" s="552">
        <f>IF(J141&gt;J142,J141,J142)</f>
        <v>0</v>
      </c>
      <c r="K144" s="552">
        <f>IF(K141&gt;K142,K141,K142)</f>
        <v>0</v>
      </c>
      <c r="L144" s="542"/>
    </row>
    <row r="145" spans="1:12" ht="18" x14ac:dyDescent="0.25">
      <c r="A145" s="556"/>
      <c r="B145" s="556"/>
      <c r="C145" s="554"/>
      <c r="D145" s="554"/>
      <c r="E145" s="557"/>
      <c r="F145" s="554"/>
      <c r="G145" s="554"/>
      <c r="H145" s="554"/>
      <c r="I145" s="558"/>
      <c r="J145" s="554"/>
      <c r="K145" s="554"/>
      <c r="L145" s="542"/>
    </row>
    <row r="146" spans="1:12" ht="66.75" customHeight="1" x14ac:dyDescent="0.25">
      <c r="A146" s="2070" t="s">
        <v>939</v>
      </c>
      <c r="B146" s="2070"/>
      <c r="C146" s="2070"/>
      <c r="D146" s="2070"/>
      <c r="E146" s="2070"/>
      <c r="F146" s="2070"/>
      <c r="G146" s="2070"/>
      <c r="H146" s="554"/>
      <c r="I146" s="558"/>
      <c r="J146" s="554"/>
      <c r="K146" s="554"/>
      <c r="L146" s="542"/>
    </row>
    <row r="147" spans="1:12" ht="18" x14ac:dyDescent="0.25">
      <c r="A147" s="549"/>
      <c r="B147" s="550"/>
      <c r="C147" s="550"/>
      <c r="D147" s="550"/>
      <c r="E147" s="550"/>
      <c r="G147" s="551"/>
      <c r="H147" s="434"/>
      <c r="I147" s="551"/>
      <c r="L147" s="542"/>
    </row>
    <row r="148" spans="1:12" ht="76.5" customHeight="1" x14ac:dyDescent="0.25">
      <c r="A148" s="549"/>
      <c r="B148" s="550"/>
      <c r="C148" s="550"/>
      <c r="D148" s="2042" t="s">
        <v>940</v>
      </c>
      <c r="E148" s="2043"/>
      <c r="F148" s="2043"/>
      <c r="G148" s="2043"/>
      <c r="H148" s="2043"/>
      <c r="I148" s="2044"/>
      <c r="L148" s="542"/>
    </row>
    <row r="149" spans="1:12" ht="57.75" customHeight="1" x14ac:dyDescent="0.25">
      <c r="A149" s="549"/>
      <c r="B149" s="550"/>
      <c r="C149" s="550"/>
      <c r="D149" s="351" t="s">
        <v>722</v>
      </c>
      <c r="E149" s="559" t="s">
        <v>707</v>
      </c>
      <c r="F149" s="560" t="s">
        <v>723</v>
      </c>
      <c r="G149" s="561" t="s">
        <v>941</v>
      </c>
      <c r="H149" s="351" t="s">
        <v>725</v>
      </c>
      <c r="I149" s="562" t="s">
        <v>726</v>
      </c>
      <c r="L149" s="542"/>
    </row>
    <row r="150" spans="1:12" ht="18" x14ac:dyDescent="0.25">
      <c r="A150" s="549"/>
      <c r="B150" s="550"/>
      <c r="C150" s="550"/>
      <c r="D150" s="563">
        <f>+'MATERIALIDAD FINANCIERA'!N51</f>
        <v>1</v>
      </c>
      <c r="E150" s="564" t="str">
        <f>+'MATERIALIDAD FINANCIERA'!O51</f>
        <v>Entre &gt;2,3% y &lt;=3%</v>
      </c>
      <c r="F150" s="1346" t="str">
        <f>+'MATERIALIDAD FINANCIERA'!P51</f>
        <v>Activos</v>
      </c>
      <c r="G150" s="565">
        <f>+'MATERIALIDAD FINANCIERA'!Q51</f>
        <v>7000000</v>
      </c>
      <c r="H150" s="564" t="str">
        <f>+'MATERIALIDAD FINANCIERA'!R51</f>
        <v>3%</v>
      </c>
      <c r="I150" s="566">
        <f>+'MATERIALIDAD FINANCIERA'!S51</f>
        <v>210000</v>
      </c>
      <c r="L150" s="542"/>
    </row>
    <row r="151" spans="1:12" ht="18" x14ac:dyDescent="0.25">
      <c r="A151" s="549"/>
      <c r="B151" s="550"/>
      <c r="C151" s="550"/>
      <c r="D151" s="550"/>
      <c r="E151" s="550"/>
      <c r="G151" s="551"/>
      <c r="H151" s="434"/>
      <c r="I151" s="551"/>
      <c r="L151" s="542"/>
    </row>
    <row r="152" spans="1:12" ht="54" customHeight="1" x14ac:dyDescent="0.25">
      <c r="B152" s="550"/>
      <c r="C152" s="550"/>
      <c r="D152" s="2031" t="s">
        <v>942</v>
      </c>
      <c r="E152" s="2031"/>
      <c r="F152" s="2031"/>
      <c r="G152" s="2031"/>
      <c r="H152" s="2031"/>
      <c r="I152" s="2031"/>
      <c r="L152" s="542"/>
    </row>
    <row r="153" spans="1:12" ht="18" x14ac:dyDescent="0.25">
      <c r="A153" s="549"/>
      <c r="B153" s="550"/>
      <c r="C153" s="550"/>
      <c r="D153" s="550"/>
      <c r="E153" s="550"/>
      <c r="G153" s="551"/>
      <c r="H153" s="434"/>
      <c r="I153" s="551"/>
      <c r="L153" s="542"/>
    </row>
    <row r="154" spans="1:12" ht="18.75" thickBot="1" x14ac:dyDescent="0.3">
      <c r="A154" s="549"/>
      <c r="B154" s="550"/>
      <c r="C154" s="550"/>
      <c r="D154" s="550"/>
      <c r="E154" s="550"/>
      <c r="G154" s="551"/>
      <c r="H154" s="434"/>
      <c r="I154" s="551"/>
      <c r="L154" s="542"/>
    </row>
    <row r="155" spans="1:12" ht="39.75" customHeight="1" thickBot="1" x14ac:dyDescent="0.3">
      <c r="A155" s="2032" t="s">
        <v>943</v>
      </c>
      <c r="B155" s="2033"/>
      <c r="C155" s="2033"/>
      <c r="D155" s="2033"/>
      <c r="E155" s="2033"/>
      <c r="F155" s="2034"/>
      <c r="G155" s="2045" t="s">
        <v>944</v>
      </c>
      <c r="H155" s="2046"/>
      <c r="I155" s="2046"/>
      <c r="J155" s="2047"/>
      <c r="K155" s="567"/>
      <c r="L155" s="489"/>
    </row>
    <row r="156" spans="1:12" ht="59.25" customHeight="1" thickBot="1" x14ac:dyDescent="0.3">
      <c r="A156" s="2048" t="s">
        <v>945</v>
      </c>
      <c r="B156" s="2049"/>
      <c r="C156" s="2049"/>
      <c r="D156" s="2049"/>
      <c r="E156" s="2049"/>
      <c r="F156" s="2050"/>
      <c r="G156" s="2051" t="s">
        <v>908</v>
      </c>
      <c r="H156" s="2052"/>
      <c r="I156" s="568" t="s">
        <v>909</v>
      </c>
      <c r="J156" s="568" t="s">
        <v>946</v>
      </c>
      <c r="K156" s="569"/>
      <c r="L156" s="489"/>
    </row>
    <row r="157" spans="1:12" ht="63" customHeight="1" thickBot="1" x14ac:dyDescent="0.3">
      <c r="A157" s="2035" t="s">
        <v>947</v>
      </c>
      <c r="B157" s="2036"/>
      <c r="C157" s="2036"/>
      <c r="D157" s="2036"/>
      <c r="E157" s="2036"/>
      <c r="F157" s="2037"/>
      <c r="G157" s="570" t="s">
        <v>948</v>
      </c>
      <c r="H157" s="571" t="str">
        <f>IFERROR(IF(C144&lt;=1,"SI","NO"),"")</f>
        <v>SI</v>
      </c>
      <c r="I157" s="571" t="str">
        <f>IFERROR(IF(F144&lt;=1,"SI","NO"),"")</f>
        <v>SI</v>
      </c>
      <c r="J157" s="571" t="str">
        <f>IFERROR(IF(J144&lt;=1,"SI","NO"),"")</f>
        <v>SI</v>
      </c>
      <c r="K157" s="572"/>
      <c r="L157" s="489"/>
    </row>
    <row r="158" spans="1:12" ht="50.25" customHeight="1" thickBot="1" x14ac:dyDescent="0.3">
      <c r="A158" s="2053" t="s">
        <v>949</v>
      </c>
      <c r="B158" s="2054"/>
      <c r="C158" s="2054"/>
      <c r="D158" s="2054"/>
      <c r="E158" s="2054"/>
      <c r="F158" s="2055"/>
      <c r="G158" s="570" t="s">
        <v>950</v>
      </c>
      <c r="H158" s="571" t="str">
        <f>IFERROR(IF(AND(C144&gt;=1,C144&lt;5),"SI","NO"),"")</f>
        <v>NO</v>
      </c>
      <c r="I158" s="571" t="str">
        <f>IFERROR(IF(AND(F144&gt;=1,F144&lt;5),"SI","NO"),"")</f>
        <v>NO</v>
      </c>
      <c r="J158" s="571" t="str">
        <f>IFERROR(IF(AND(J144&gt;1,J144&lt;5),"SI","NO"),"")</f>
        <v>NO</v>
      </c>
      <c r="K158" s="572"/>
      <c r="L158" s="489"/>
    </row>
    <row r="159" spans="1:12" ht="54.75" customHeight="1" thickBot="1" x14ac:dyDescent="0.3">
      <c r="A159" s="2035" t="s">
        <v>951</v>
      </c>
      <c r="B159" s="2036"/>
      <c r="C159" s="2036"/>
      <c r="D159" s="2036"/>
      <c r="E159" s="2036"/>
      <c r="F159" s="2037"/>
      <c r="G159" s="570" t="s">
        <v>952</v>
      </c>
      <c r="H159" s="571" t="str">
        <f>IFERROR(IF(C144&gt;5,"SI","NO"),"")</f>
        <v>NO</v>
      </c>
      <c r="I159" s="571" t="str">
        <f>IFERROR(IF(F144&gt;5,"SI","NO"),"")</f>
        <v>NO</v>
      </c>
      <c r="J159" s="571" t="str">
        <f>IFERROR(IF(J144&gt;5,"SI","NO"),"")</f>
        <v>NO</v>
      </c>
      <c r="K159" s="572"/>
      <c r="L159" s="489"/>
    </row>
    <row r="160" spans="1:12" ht="94.5" customHeight="1" x14ac:dyDescent="0.25">
      <c r="A160" s="2038"/>
      <c r="B160" s="2038"/>
      <c r="C160" s="2038"/>
      <c r="D160" s="2038"/>
      <c r="E160" s="2038"/>
      <c r="F160" s="2038"/>
      <c r="G160" s="573" t="s">
        <v>953</v>
      </c>
      <c r="H160" s="574" t="str">
        <f>IF(J144=J141,IF(C141&gt;=F141,"NO","SI"),IF(J144=J142,IF(C142&gt;=F142,"NO","SI"),""))</f>
        <v>NO</v>
      </c>
      <c r="I160" s="574" t="str">
        <f>IF(K144=K141,IF(D141&gt;=G141,"PREDOMINA INCORRECCIONES","PREDOMINA IMPOSIBILIDADES"),IF(K144=K142,IF(D142&gt;=G142,"PREDOMINA INCORRECCIONES","PREDOMINA IMPOSIBILIDADES"),""))</f>
        <v>PREDOMINA INCORRECCIONES</v>
      </c>
      <c r="L160" s="489"/>
    </row>
    <row r="161" spans="1:13" ht="151.5" customHeight="1" x14ac:dyDescent="0.25">
      <c r="B161" s="575"/>
      <c r="C161" s="575"/>
      <c r="D161" s="575"/>
      <c r="E161" s="575"/>
      <c r="F161" s="575"/>
      <c r="G161" s="2039" t="s">
        <v>954</v>
      </c>
      <c r="H161" s="2039"/>
      <c r="I161" s="2039"/>
      <c r="J161" s="2039"/>
      <c r="L161" s="489"/>
    </row>
    <row r="162" spans="1:13" s="439" customFormat="1" ht="24" thickBot="1" x14ac:dyDescent="0.3">
      <c r="A162" s="576"/>
      <c r="B162" s="577"/>
      <c r="C162" s="577"/>
      <c r="D162" s="577"/>
      <c r="E162" s="577"/>
      <c r="F162" s="577"/>
      <c r="G162" s="578"/>
      <c r="H162" s="579"/>
      <c r="I162" s="579"/>
      <c r="L162" s="520"/>
    </row>
    <row r="163" spans="1:13" ht="87.75" customHeight="1" thickBot="1" x14ac:dyDescent="0.3">
      <c r="A163" s="2040" t="s">
        <v>955</v>
      </c>
      <c r="B163" s="2040"/>
      <c r="C163" s="2040"/>
      <c r="D163" s="2040"/>
      <c r="E163" s="2040"/>
      <c r="F163" s="580" t="s">
        <v>956</v>
      </c>
      <c r="G163" s="581" t="str">
        <f>IF(J157="","",IF(J157="SI","Limpia o Sin Salvedades",IF(J158="SI","Con Salvedades",IF(AND(J159="SI",H160="NO"),"Negativa",IF(AND(J159="SI",H160="SI"),"Abstención","")))))</f>
        <v>Limpia o Sin Salvedades</v>
      </c>
      <c r="H163" s="582">
        <f>IF(G163="","",IF(OR(G163="ABSTENCIÓN",G163="NEGATIVA"),0%,IF(G163="LIMPIA O SIN SALVEDADES",100%,75%)))</f>
        <v>1</v>
      </c>
      <c r="I163" s="583"/>
      <c r="J163" s="584"/>
      <c r="K163" s="585"/>
      <c r="L163" s="489"/>
    </row>
    <row r="164" spans="1:13" ht="50.25" customHeight="1" thickBot="1" x14ac:dyDescent="0.3">
      <c r="A164" s="2041"/>
      <c r="B164" s="2041"/>
      <c r="C164" s="2041"/>
      <c r="D164" s="2041"/>
      <c r="E164" s="2041"/>
      <c r="F164" s="586" t="s">
        <v>178</v>
      </c>
      <c r="G164" s="587"/>
      <c r="H164" s="588" t="str">
        <f>IF(H163="","",IF(H163&gt;=75%,"EFICAZ","INEFICAZ"))</f>
        <v>EFICAZ</v>
      </c>
      <c r="I164" s="589"/>
      <c r="J164" s="590"/>
      <c r="K164" s="591"/>
      <c r="L164" s="592"/>
    </row>
    <row r="165" spans="1:13" s="439" customFormat="1" ht="64.5" customHeight="1" x14ac:dyDescent="0.25">
      <c r="A165" s="2031" t="s">
        <v>957</v>
      </c>
      <c r="B165" s="2031"/>
      <c r="C165" s="2031"/>
      <c r="D165" s="2031"/>
      <c r="E165" s="2031"/>
      <c r="F165" s="2031"/>
      <c r="G165" s="2031"/>
      <c r="H165" s="2031"/>
      <c r="I165" s="583"/>
      <c r="J165" s="593"/>
      <c r="K165" s="585"/>
    </row>
    <row r="166" spans="1:13" x14ac:dyDescent="0.25">
      <c r="J166" s="436"/>
      <c r="K166" s="436"/>
    </row>
    <row r="167" spans="1:13" x14ac:dyDescent="0.25">
      <c r="J167" s="436"/>
      <c r="K167" s="436"/>
    </row>
    <row r="168" spans="1:13" ht="14.25" customHeight="1" x14ac:dyDescent="0.25">
      <c r="A168" s="2010" t="s">
        <v>744</v>
      </c>
      <c r="B168" s="2011"/>
      <c r="C168" s="2011"/>
      <c r="D168" s="2011"/>
      <c r="E168" s="2011"/>
      <c r="F168" s="2011"/>
      <c r="G168" s="2011"/>
      <c r="H168" s="2011"/>
      <c r="I168" s="2011"/>
      <c r="J168" s="2011"/>
      <c r="K168" s="2011"/>
      <c r="L168" s="2011"/>
      <c r="M168" s="2012"/>
    </row>
    <row r="169" spans="1:13" ht="14.25" customHeight="1" x14ac:dyDescent="0.25">
      <c r="A169" s="2013"/>
      <c r="B169" s="2014"/>
      <c r="C169" s="2014"/>
      <c r="D169" s="2014"/>
      <c r="E169" s="2014"/>
      <c r="F169" s="2014"/>
      <c r="G169" s="2014"/>
      <c r="H169" s="2014"/>
      <c r="I169" s="2014"/>
      <c r="J169" s="2014"/>
      <c r="K169" s="2014"/>
      <c r="L169" s="2014"/>
      <c r="M169" s="2015"/>
    </row>
    <row r="170" spans="1:13" ht="14.25" customHeight="1" x14ac:dyDescent="0.25">
      <c r="A170" s="2016"/>
      <c r="B170" s="2017"/>
      <c r="C170" s="2017"/>
      <c r="D170" s="2017"/>
      <c r="E170" s="2017"/>
      <c r="F170" s="2017"/>
      <c r="G170" s="2017"/>
      <c r="H170" s="2017"/>
      <c r="I170" s="2017"/>
      <c r="J170" s="2017"/>
      <c r="K170" s="2017"/>
      <c r="L170" s="2017"/>
      <c r="M170" s="2018"/>
    </row>
    <row r="171" spans="1:13" x14ac:dyDescent="0.25">
      <c r="A171" s="1969" t="s">
        <v>745</v>
      </c>
      <c r="B171" s="1970"/>
      <c r="C171" s="1970"/>
      <c r="D171" s="1970"/>
      <c r="E171" s="1970"/>
      <c r="F171" s="1970"/>
      <c r="G171" s="1970"/>
      <c r="H171" s="1970"/>
      <c r="I171" s="1970"/>
      <c r="J171" s="1971"/>
      <c r="K171" s="2009" t="s">
        <v>746</v>
      </c>
      <c r="L171" s="2009"/>
      <c r="M171" s="2009"/>
    </row>
    <row r="172" spans="1:13" x14ac:dyDescent="0.25">
      <c r="A172" s="2009" t="s">
        <v>747</v>
      </c>
      <c r="B172" s="2009"/>
      <c r="C172" s="2009"/>
      <c r="D172" s="2009"/>
      <c r="E172" s="2009"/>
      <c r="F172" s="2009"/>
      <c r="G172" s="2009"/>
      <c r="H172" s="2009"/>
      <c r="I172" s="2009"/>
      <c r="J172" s="2009"/>
      <c r="K172" s="2009"/>
      <c r="L172" s="2009"/>
      <c r="M172" s="2009"/>
    </row>
    <row r="173" spans="1:13" ht="14.25" customHeight="1" x14ac:dyDescent="0.25">
      <c r="A173" s="2019" t="s">
        <v>1717</v>
      </c>
      <c r="B173" s="2020"/>
      <c r="C173" s="2020"/>
      <c r="D173" s="2020"/>
      <c r="E173" s="2021"/>
      <c r="F173" s="2025" t="s">
        <v>1715</v>
      </c>
      <c r="G173" s="2026"/>
      <c r="H173" s="2026"/>
      <c r="I173" s="2026"/>
      <c r="J173" s="2027"/>
      <c r="K173" s="2009" t="s">
        <v>748</v>
      </c>
      <c r="L173" s="2009"/>
      <c r="M173" s="2009"/>
    </row>
    <row r="174" spans="1:13" ht="14.25" customHeight="1" x14ac:dyDescent="0.25">
      <c r="A174" s="2022"/>
      <c r="B174" s="2023"/>
      <c r="C174" s="2023"/>
      <c r="D174" s="2023"/>
      <c r="E174" s="2024"/>
      <c r="F174" s="2028"/>
      <c r="G174" s="2029"/>
      <c r="H174" s="2029"/>
      <c r="I174" s="2029"/>
      <c r="J174" s="2030"/>
      <c r="K174" s="2009"/>
      <c r="L174" s="2009"/>
      <c r="M174" s="2009"/>
    </row>
    <row r="175" spans="1:13" x14ac:dyDescent="0.25">
      <c r="A175" s="2009" t="s">
        <v>749</v>
      </c>
      <c r="B175" s="2009"/>
      <c r="C175" s="2009"/>
      <c r="D175" s="2009"/>
      <c r="E175" s="2009"/>
      <c r="F175" s="2009"/>
      <c r="G175" s="2009"/>
      <c r="H175" s="2009"/>
      <c r="I175" s="2009"/>
      <c r="J175" s="2009"/>
      <c r="K175" s="2009"/>
      <c r="L175" s="2009"/>
      <c r="M175" s="2009"/>
    </row>
    <row r="176" spans="1:13" x14ac:dyDescent="0.25">
      <c r="A176" s="2009" t="s">
        <v>1716</v>
      </c>
      <c r="B176" s="2009"/>
      <c r="C176" s="2009"/>
      <c r="D176" s="2009"/>
      <c r="E176" s="2009"/>
      <c r="F176" s="1972" t="s">
        <v>1677</v>
      </c>
      <c r="G176" s="1973"/>
      <c r="H176" s="1969" t="s">
        <v>750</v>
      </c>
      <c r="I176" s="1970"/>
      <c r="J176" s="1971"/>
      <c r="K176" s="2009" t="s">
        <v>751</v>
      </c>
      <c r="L176" s="2009"/>
      <c r="M176" s="2009"/>
    </row>
    <row r="177" spans="10:11" x14ac:dyDescent="0.25">
      <c r="J177" s="436"/>
      <c r="K177" s="436"/>
    </row>
    <row r="178" spans="10:11" x14ac:dyDescent="0.25">
      <c r="J178" s="436"/>
      <c r="K178" s="436"/>
    </row>
    <row r="179" spans="10:11" x14ac:dyDescent="0.25">
      <c r="J179" s="436"/>
      <c r="K179" s="436"/>
    </row>
    <row r="180" spans="10:11" x14ac:dyDescent="0.25">
      <c r="J180" s="436"/>
      <c r="K180" s="436"/>
    </row>
    <row r="181" spans="10:11" x14ac:dyDescent="0.25">
      <c r="J181" s="436"/>
      <c r="K181" s="436"/>
    </row>
    <row r="182" spans="10:11" x14ac:dyDescent="0.25">
      <c r="J182" s="436"/>
      <c r="K182" s="436"/>
    </row>
    <row r="183" spans="10:11" x14ac:dyDescent="0.25">
      <c r="J183" s="436"/>
      <c r="K183" s="436"/>
    </row>
    <row r="184" spans="10:11" x14ac:dyDescent="0.25">
      <c r="J184" s="436"/>
      <c r="K184" s="436"/>
    </row>
    <row r="185" spans="10:11" x14ac:dyDescent="0.25">
      <c r="J185" s="436"/>
      <c r="K185" s="436"/>
    </row>
    <row r="186" spans="10:11" x14ac:dyDescent="0.25">
      <c r="J186" s="436"/>
      <c r="K186" s="436"/>
    </row>
    <row r="187" spans="10:11" x14ac:dyDescent="0.25">
      <c r="J187" s="436"/>
      <c r="K187" s="436"/>
    </row>
    <row r="188" spans="10:11" x14ac:dyDescent="0.25">
      <c r="J188" s="436"/>
      <c r="K188" s="436"/>
    </row>
    <row r="189" spans="10:11" ht="21.75" customHeight="1" x14ac:dyDescent="0.25">
      <c r="J189" s="436"/>
      <c r="K189" s="436"/>
    </row>
    <row r="190" spans="10:11" x14ac:dyDescent="0.25">
      <c r="J190" s="436"/>
      <c r="K190" s="436"/>
    </row>
    <row r="191" spans="10:11" x14ac:dyDescent="0.25">
      <c r="J191" s="436"/>
      <c r="K191" s="436"/>
    </row>
    <row r="192" spans="10:11" x14ac:dyDescent="0.25">
      <c r="J192" s="436"/>
      <c r="K192" s="436"/>
    </row>
    <row r="193" spans="1:11" x14ac:dyDescent="0.25">
      <c r="A193" s="594" t="s">
        <v>958</v>
      </c>
      <c r="B193" s="595" t="s">
        <v>891</v>
      </c>
      <c r="J193" s="436"/>
      <c r="K193" s="436"/>
    </row>
    <row r="194" spans="1:11" x14ac:dyDescent="0.25">
      <c r="A194" s="594"/>
      <c r="B194" s="596" t="s">
        <v>893</v>
      </c>
      <c r="J194" s="436"/>
      <c r="K194" s="436"/>
    </row>
    <row r="195" spans="1:11" x14ac:dyDescent="0.25">
      <c r="A195" s="434" t="s">
        <v>894</v>
      </c>
      <c r="B195" s="596" t="s">
        <v>959</v>
      </c>
      <c r="J195" s="436"/>
      <c r="K195" s="436"/>
    </row>
    <row r="196" spans="1:11" x14ac:dyDescent="0.25">
      <c r="A196" s="434" t="s">
        <v>895</v>
      </c>
      <c r="B196" s="596" t="s">
        <v>960</v>
      </c>
      <c r="J196" s="436"/>
      <c r="K196" s="436"/>
    </row>
    <row r="197" spans="1:11" ht="28.5" x14ac:dyDescent="0.25">
      <c r="A197" s="434" t="s">
        <v>899</v>
      </c>
      <c r="B197" s="596" t="s">
        <v>961</v>
      </c>
      <c r="J197" s="436"/>
      <c r="K197" s="436"/>
    </row>
    <row r="198" spans="1:11" x14ac:dyDescent="0.25">
      <c r="A198" s="434" t="s">
        <v>962</v>
      </c>
      <c r="B198" s="596" t="s">
        <v>963</v>
      </c>
      <c r="J198" s="436"/>
      <c r="K198" s="436"/>
    </row>
    <row r="199" spans="1:11" x14ac:dyDescent="0.25">
      <c r="J199" s="436"/>
      <c r="K199" s="436"/>
    </row>
    <row r="200" spans="1:11" x14ac:dyDescent="0.25">
      <c r="J200" s="436"/>
      <c r="K200" s="436"/>
    </row>
    <row r="201" spans="1:11" x14ac:dyDescent="0.25">
      <c r="J201" s="436"/>
      <c r="K201" s="436"/>
    </row>
    <row r="202" spans="1:11" x14ac:dyDescent="0.25">
      <c r="J202" s="436"/>
      <c r="K202" s="436"/>
    </row>
    <row r="203" spans="1:11" x14ac:dyDescent="0.25">
      <c r="J203" s="436"/>
      <c r="K203" s="436"/>
    </row>
    <row r="204" spans="1:11" x14ac:dyDescent="0.25">
      <c r="J204" s="436"/>
      <c r="K204" s="436"/>
    </row>
    <row r="205" spans="1:11" x14ac:dyDescent="0.25">
      <c r="J205" s="436"/>
      <c r="K205" s="436"/>
    </row>
    <row r="206" spans="1:11" x14ac:dyDescent="0.25">
      <c r="J206" s="436"/>
      <c r="K206" s="436"/>
    </row>
    <row r="207" spans="1:11" x14ac:dyDescent="0.25">
      <c r="J207" s="436"/>
      <c r="K207" s="436"/>
    </row>
    <row r="208" spans="1:11" x14ac:dyDescent="0.25">
      <c r="J208" s="436"/>
      <c r="K208" s="436"/>
    </row>
    <row r="209" spans="10:11" x14ac:dyDescent="0.25">
      <c r="J209" s="436"/>
      <c r="K209" s="436"/>
    </row>
    <row r="210" spans="10:11" x14ac:dyDescent="0.25">
      <c r="J210" s="436"/>
      <c r="K210" s="436"/>
    </row>
    <row r="211" spans="10:11" x14ac:dyDescent="0.25">
      <c r="J211" s="436"/>
      <c r="K211" s="436"/>
    </row>
    <row r="212" spans="10:11" x14ac:dyDescent="0.25">
      <c r="J212" s="436"/>
      <c r="K212" s="436"/>
    </row>
    <row r="213" spans="10:11" x14ac:dyDescent="0.25">
      <c r="J213" s="436"/>
      <c r="K213" s="436"/>
    </row>
    <row r="214" spans="10:11" x14ac:dyDescent="0.25">
      <c r="J214" s="436"/>
      <c r="K214" s="436"/>
    </row>
    <row r="215" spans="10:11" x14ac:dyDescent="0.25">
      <c r="J215" s="436"/>
      <c r="K215" s="436"/>
    </row>
    <row r="216" spans="10:11" x14ac:dyDescent="0.25">
      <c r="J216" s="436"/>
      <c r="K216" s="436"/>
    </row>
    <row r="217" spans="10:11" x14ac:dyDescent="0.25">
      <c r="J217" s="436"/>
      <c r="K217" s="436"/>
    </row>
    <row r="218" spans="10:11" x14ac:dyDescent="0.25">
      <c r="J218" s="436"/>
      <c r="K218" s="436"/>
    </row>
    <row r="219" spans="10:11" x14ac:dyDescent="0.25">
      <c r="J219" s="436"/>
      <c r="K219" s="436"/>
    </row>
    <row r="220" spans="10:11" x14ac:dyDescent="0.25">
      <c r="J220" s="436"/>
      <c r="K220" s="436"/>
    </row>
    <row r="221" spans="10:11" x14ac:dyDescent="0.25">
      <c r="J221" s="436"/>
      <c r="K221" s="436"/>
    </row>
    <row r="222" spans="10:11" x14ac:dyDescent="0.25">
      <c r="J222" s="436"/>
      <c r="K222" s="436"/>
    </row>
    <row r="223" spans="10:11" x14ac:dyDescent="0.25">
      <c r="J223" s="436"/>
      <c r="K223" s="436"/>
    </row>
    <row r="224" spans="10:11" x14ac:dyDescent="0.25">
      <c r="J224" s="436"/>
      <c r="K224" s="436"/>
    </row>
    <row r="225" spans="10:11" x14ac:dyDescent="0.25">
      <c r="J225" s="436"/>
      <c r="K225" s="436"/>
    </row>
    <row r="226" spans="10:11" x14ac:dyDescent="0.25">
      <c r="J226" s="436"/>
      <c r="K226" s="436"/>
    </row>
    <row r="227" spans="10:11" x14ac:dyDescent="0.25">
      <c r="J227" s="436"/>
      <c r="K227" s="436"/>
    </row>
    <row r="228" spans="10:11" x14ac:dyDescent="0.25">
      <c r="J228" s="436"/>
      <c r="K228" s="436"/>
    </row>
    <row r="229" spans="10:11" x14ac:dyDescent="0.25">
      <c r="J229" s="436"/>
      <c r="K229" s="436"/>
    </row>
    <row r="230" spans="10:11" x14ac:dyDescent="0.25">
      <c r="J230" s="436"/>
      <c r="K230" s="436"/>
    </row>
    <row r="231" spans="10:11" x14ac:dyDescent="0.25">
      <c r="J231" s="436"/>
      <c r="K231" s="436"/>
    </row>
    <row r="232" spans="10:11" x14ac:dyDescent="0.25">
      <c r="J232" s="436"/>
      <c r="K232" s="436"/>
    </row>
    <row r="233" spans="10:11" x14ac:dyDescent="0.25">
      <c r="J233" s="436"/>
      <c r="K233" s="436"/>
    </row>
    <row r="234" spans="10:11" x14ac:dyDescent="0.25">
      <c r="J234" s="436"/>
      <c r="K234" s="436"/>
    </row>
    <row r="235" spans="10:11" x14ac:dyDescent="0.25">
      <c r="J235" s="436"/>
      <c r="K235" s="436"/>
    </row>
    <row r="236" spans="10:11" x14ac:dyDescent="0.25">
      <c r="J236" s="436"/>
      <c r="K236" s="436"/>
    </row>
    <row r="237" spans="10:11" x14ac:dyDescent="0.25">
      <c r="J237" s="436"/>
      <c r="K237" s="436"/>
    </row>
    <row r="238" spans="10:11" x14ac:dyDescent="0.25">
      <c r="J238" s="436"/>
      <c r="K238" s="436"/>
    </row>
    <row r="239" spans="10:11" x14ac:dyDescent="0.25">
      <c r="J239" s="436"/>
      <c r="K239" s="436"/>
    </row>
    <row r="240" spans="10:11" x14ac:dyDescent="0.25">
      <c r="J240" s="436"/>
      <c r="K240" s="436"/>
    </row>
    <row r="241" spans="10:11" x14ac:dyDescent="0.25">
      <c r="J241" s="436"/>
      <c r="K241" s="436"/>
    </row>
    <row r="242" spans="10:11" x14ac:dyDescent="0.25">
      <c r="J242" s="436"/>
      <c r="K242" s="436"/>
    </row>
    <row r="243" spans="10:11" x14ac:dyDescent="0.25">
      <c r="J243" s="436"/>
      <c r="K243" s="436"/>
    </row>
    <row r="244" spans="10:11" x14ac:dyDescent="0.25">
      <c r="J244" s="436"/>
      <c r="K244" s="436"/>
    </row>
    <row r="245" spans="10:11" x14ac:dyDescent="0.25">
      <c r="J245" s="436"/>
      <c r="K245" s="436"/>
    </row>
    <row r="246" spans="10:11" x14ac:dyDescent="0.25">
      <c r="J246" s="436"/>
      <c r="K246" s="436"/>
    </row>
    <row r="247" spans="10:11" x14ac:dyDescent="0.25">
      <c r="J247" s="436"/>
      <c r="K247" s="436"/>
    </row>
    <row r="248" spans="10:11" x14ac:dyDescent="0.25">
      <c r="J248" s="436"/>
      <c r="K248" s="436"/>
    </row>
    <row r="249" spans="10:11" x14ac:dyDescent="0.25">
      <c r="J249" s="436"/>
      <c r="K249" s="436"/>
    </row>
    <row r="250" spans="10:11" x14ac:dyDescent="0.25">
      <c r="J250" s="436"/>
      <c r="K250" s="436"/>
    </row>
    <row r="251" spans="10:11" x14ac:dyDescent="0.25">
      <c r="J251" s="436"/>
      <c r="K251" s="436"/>
    </row>
    <row r="252" spans="10:11" x14ac:dyDescent="0.25">
      <c r="J252" s="436"/>
      <c r="K252" s="436"/>
    </row>
    <row r="253" spans="10:11" x14ac:dyDescent="0.25">
      <c r="J253" s="436"/>
      <c r="K253" s="436"/>
    </row>
    <row r="254" spans="10:11" x14ac:dyDescent="0.25">
      <c r="J254" s="436"/>
      <c r="K254" s="436"/>
    </row>
    <row r="255" spans="10:11" x14ac:dyDescent="0.25">
      <c r="J255" s="436"/>
      <c r="K255" s="436"/>
    </row>
    <row r="256" spans="10:11" x14ac:dyDescent="0.25">
      <c r="J256" s="436"/>
      <c r="K256" s="436"/>
    </row>
    <row r="257" spans="10:11" x14ac:dyDescent="0.25">
      <c r="J257" s="436"/>
      <c r="K257" s="436"/>
    </row>
    <row r="258" spans="10:11" x14ac:dyDescent="0.25">
      <c r="J258" s="436"/>
      <c r="K258" s="436"/>
    </row>
    <row r="259" spans="10:11" x14ac:dyDescent="0.25">
      <c r="J259" s="436"/>
      <c r="K259" s="436"/>
    </row>
    <row r="260" spans="10:11" x14ac:dyDescent="0.25">
      <c r="J260" s="436"/>
      <c r="K260" s="436"/>
    </row>
    <row r="261" spans="10:11" x14ac:dyDescent="0.25">
      <c r="J261" s="436"/>
      <c r="K261" s="436"/>
    </row>
    <row r="262" spans="10:11" x14ac:dyDescent="0.25">
      <c r="J262" s="436"/>
      <c r="K262" s="436"/>
    </row>
    <row r="263" spans="10:11" x14ac:dyDescent="0.25">
      <c r="J263" s="436"/>
      <c r="K263" s="436"/>
    </row>
    <row r="264" spans="10:11" x14ac:dyDescent="0.25">
      <c r="J264" s="436"/>
      <c r="K264" s="436"/>
    </row>
    <row r="265" spans="10:11" x14ac:dyDescent="0.25">
      <c r="J265" s="436"/>
      <c r="K265" s="436"/>
    </row>
    <row r="266" spans="10:11" x14ac:dyDescent="0.25">
      <c r="J266" s="436"/>
      <c r="K266" s="436"/>
    </row>
    <row r="267" spans="10:11" x14ac:dyDescent="0.25">
      <c r="J267" s="436"/>
      <c r="K267" s="436"/>
    </row>
    <row r="268" spans="10:11" x14ac:dyDescent="0.25">
      <c r="J268" s="436"/>
      <c r="K268" s="436"/>
    </row>
    <row r="269" spans="10:11" x14ac:dyDescent="0.25">
      <c r="J269" s="436"/>
      <c r="K269" s="436"/>
    </row>
    <row r="270" spans="10:11" x14ac:dyDescent="0.25">
      <c r="J270" s="436"/>
      <c r="K270" s="436"/>
    </row>
    <row r="271" spans="10:11" x14ac:dyDescent="0.25">
      <c r="J271" s="436"/>
      <c r="K271" s="436"/>
    </row>
    <row r="272" spans="10:11" x14ac:dyDescent="0.25">
      <c r="J272" s="436"/>
      <c r="K272" s="436"/>
    </row>
    <row r="273" spans="10:11" x14ac:dyDescent="0.25">
      <c r="J273" s="436"/>
      <c r="K273" s="436"/>
    </row>
    <row r="274" spans="10:11" x14ac:dyDescent="0.25">
      <c r="J274" s="436"/>
      <c r="K274" s="436"/>
    </row>
    <row r="275" spans="10:11" x14ac:dyDescent="0.25">
      <c r="J275" s="436"/>
      <c r="K275" s="436"/>
    </row>
    <row r="276" spans="10:11" x14ac:dyDescent="0.25">
      <c r="J276" s="436"/>
      <c r="K276" s="436"/>
    </row>
    <row r="277" spans="10:11" x14ac:dyDescent="0.25">
      <c r="J277" s="436"/>
      <c r="K277" s="436"/>
    </row>
    <row r="278" spans="10:11" x14ac:dyDescent="0.25">
      <c r="J278" s="436"/>
      <c r="K278" s="436"/>
    </row>
    <row r="279" spans="10:11" x14ac:dyDescent="0.25">
      <c r="J279" s="436"/>
      <c r="K279" s="436"/>
    </row>
    <row r="280" spans="10:11" x14ac:dyDescent="0.25">
      <c r="J280" s="436"/>
      <c r="K280" s="436"/>
    </row>
    <row r="281" spans="10:11" x14ac:dyDescent="0.25">
      <c r="J281" s="436"/>
      <c r="K281" s="436"/>
    </row>
    <row r="282" spans="10:11" x14ac:dyDescent="0.25">
      <c r="J282" s="436"/>
      <c r="K282" s="436"/>
    </row>
    <row r="283" spans="10:11" x14ac:dyDescent="0.25">
      <c r="J283" s="436"/>
      <c r="K283" s="436"/>
    </row>
    <row r="284" spans="10:11" x14ac:dyDescent="0.25">
      <c r="J284" s="436"/>
      <c r="K284" s="436"/>
    </row>
    <row r="285" spans="10:11" x14ac:dyDescent="0.25">
      <c r="J285" s="436"/>
      <c r="K285" s="436"/>
    </row>
    <row r="286" spans="10:11" x14ac:dyDescent="0.25">
      <c r="J286" s="436"/>
      <c r="K286" s="436"/>
    </row>
    <row r="287" spans="10:11" x14ac:dyDescent="0.25">
      <c r="J287" s="436"/>
      <c r="K287" s="436"/>
    </row>
    <row r="288" spans="10:11" x14ac:dyDescent="0.25">
      <c r="J288" s="436"/>
      <c r="K288" s="436"/>
    </row>
    <row r="289" spans="10:11" x14ac:dyDescent="0.25">
      <c r="J289" s="436"/>
      <c r="K289" s="436"/>
    </row>
    <row r="290" spans="10:11" x14ac:dyDescent="0.25">
      <c r="J290" s="436"/>
      <c r="K290" s="436"/>
    </row>
    <row r="291" spans="10:11" x14ac:dyDescent="0.25">
      <c r="J291" s="436"/>
      <c r="K291" s="436"/>
    </row>
    <row r="292" spans="10:11" x14ac:dyDescent="0.25">
      <c r="J292" s="436"/>
      <c r="K292" s="436"/>
    </row>
    <row r="293" spans="10:11" x14ac:dyDescent="0.25">
      <c r="J293" s="436"/>
      <c r="K293" s="436"/>
    </row>
    <row r="294" spans="10:11" x14ac:dyDescent="0.25">
      <c r="J294" s="436"/>
      <c r="K294" s="436"/>
    </row>
    <row r="295" spans="10:11" x14ac:dyDescent="0.25">
      <c r="J295" s="436"/>
      <c r="K295" s="436"/>
    </row>
    <row r="296" spans="10:11" x14ac:dyDescent="0.25">
      <c r="J296" s="436"/>
      <c r="K296" s="436"/>
    </row>
    <row r="297" spans="10:11" x14ac:dyDescent="0.25">
      <c r="J297" s="436"/>
      <c r="K297" s="436"/>
    </row>
    <row r="298" spans="10:11" x14ac:dyDescent="0.25">
      <c r="J298" s="436"/>
      <c r="K298" s="436"/>
    </row>
    <row r="299" spans="10:11" x14ac:dyDescent="0.25">
      <c r="J299" s="436"/>
      <c r="K299" s="436"/>
    </row>
    <row r="300" spans="10:11" x14ac:dyDescent="0.25">
      <c r="J300" s="436"/>
      <c r="K300" s="436"/>
    </row>
    <row r="301" spans="10:11" x14ac:dyDescent="0.25">
      <c r="J301" s="436"/>
      <c r="K301" s="436"/>
    </row>
    <row r="302" spans="10:11" x14ac:dyDescent="0.25">
      <c r="J302" s="436"/>
      <c r="K302" s="436"/>
    </row>
    <row r="303" spans="10:11" x14ac:dyDescent="0.25">
      <c r="J303" s="436"/>
      <c r="K303" s="436"/>
    </row>
    <row r="304" spans="10:11" x14ac:dyDescent="0.25">
      <c r="J304" s="436"/>
      <c r="K304" s="436"/>
    </row>
    <row r="305" spans="10:11" x14ac:dyDescent="0.25">
      <c r="J305" s="436"/>
      <c r="K305" s="436"/>
    </row>
    <row r="306" spans="10:11" x14ac:dyDescent="0.25">
      <c r="J306" s="436"/>
      <c r="K306" s="436"/>
    </row>
    <row r="307" spans="10:11" x14ac:dyDescent="0.25">
      <c r="J307" s="436"/>
      <c r="K307" s="436"/>
    </row>
    <row r="308" spans="10:11" x14ac:dyDescent="0.25">
      <c r="J308" s="436"/>
      <c r="K308" s="436"/>
    </row>
    <row r="309" spans="10:11" x14ac:dyDescent="0.25">
      <c r="J309" s="436"/>
      <c r="K309" s="436"/>
    </row>
    <row r="310" spans="10:11" x14ac:dyDescent="0.25">
      <c r="J310" s="436"/>
      <c r="K310" s="436"/>
    </row>
    <row r="311" spans="10:11" x14ac:dyDescent="0.25">
      <c r="J311" s="436"/>
      <c r="K311" s="436"/>
    </row>
    <row r="312" spans="10:11" x14ac:dyDescent="0.25">
      <c r="J312" s="436"/>
      <c r="K312" s="436"/>
    </row>
    <row r="313" spans="10:11" x14ac:dyDescent="0.25">
      <c r="J313" s="436"/>
      <c r="K313" s="436"/>
    </row>
    <row r="314" spans="10:11" x14ac:dyDescent="0.25">
      <c r="J314" s="436"/>
      <c r="K314" s="436"/>
    </row>
    <row r="315" spans="10:11" x14ac:dyDescent="0.25">
      <c r="J315" s="436"/>
      <c r="K315" s="436"/>
    </row>
    <row r="316" spans="10:11" x14ac:dyDescent="0.25">
      <c r="J316" s="436"/>
      <c r="K316" s="436"/>
    </row>
    <row r="317" spans="10:11" x14ac:dyDescent="0.25">
      <c r="J317" s="436"/>
      <c r="K317" s="436"/>
    </row>
    <row r="318" spans="10:11" x14ac:dyDescent="0.25">
      <c r="J318" s="436"/>
      <c r="K318" s="436"/>
    </row>
    <row r="319" spans="10:11" x14ac:dyDescent="0.25">
      <c r="J319" s="436"/>
      <c r="K319" s="436"/>
    </row>
    <row r="320" spans="10:11" x14ac:dyDescent="0.25">
      <c r="J320" s="436"/>
      <c r="K320" s="436"/>
    </row>
    <row r="321" spans="10:11" x14ac:dyDescent="0.25">
      <c r="J321" s="436"/>
      <c r="K321" s="436"/>
    </row>
    <row r="322" spans="10:11" x14ac:dyDescent="0.25">
      <c r="J322" s="436"/>
      <c r="K322" s="436"/>
    </row>
    <row r="323" spans="10:11" x14ac:dyDescent="0.25">
      <c r="J323" s="436"/>
      <c r="K323" s="436"/>
    </row>
    <row r="324" spans="10:11" x14ac:dyDescent="0.25">
      <c r="J324" s="436"/>
      <c r="K324" s="436"/>
    </row>
    <row r="325" spans="10:11" x14ac:dyDescent="0.25">
      <c r="J325" s="436"/>
      <c r="K325" s="436"/>
    </row>
    <row r="326" spans="10:11" x14ac:dyDescent="0.25">
      <c r="J326" s="436"/>
      <c r="K326" s="436"/>
    </row>
    <row r="327" spans="10:11" x14ac:dyDescent="0.25">
      <c r="J327" s="436"/>
      <c r="K327" s="436"/>
    </row>
    <row r="328" spans="10:11" x14ac:dyDescent="0.25">
      <c r="J328" s="436"/>
      <c r="K328" s="436"/>
    </row>
    <row r="329" spans="10:11" x14ac:dyDescent="0.25">
      <c r="J329" s="436"/>
      <c r="K329" s="436"/>
    </row>
    <row r="330" spans="10:11" x14ac:dyDescent="0.25">
      <c r="J330" s="436"/>
      <c r="K330" s="436"/>
    </row>
    <row r="331" spans="10:11" x14ac:dyDescent="0.25">
      <c r="J331" s="436"/>
      <c r="K331" s="436"/>
    </row>
    <row r="332" spans="10:11" x14ac:dyDescent="0.25">
      <c r="J332" s="436"/>
      <c r="K332" s="436"/>
    </row>
    <row r="333" spans="10:11" x14ac:dyDescent="0.25">
      <c r="J333" s="436"/>
      <c r="K333" s="436"/>
    </row>
    <row r="334" spans="10:11" x14ac:dyDescent="0.25">
      <c r="J334" s="436"/>
      <c r="K334" s="436"/>
    </row>
    <row r="335" spans="10:11" x14ac:dyDescent="0.25">
      <c r="J335" s="436"/>
      <c r="K335" s="436"/>
    </row>
    <row r="336" spans="10:11" x14ac:dyDescent="0.25">
      <c r="J336" s="436"/>
      <c r="K336" s="436"/>
    </row>
    <row r="337" spans="10:11" x14ac:dyDescent="0.25">
      <c r="J337" s="436"/>
      <c r="K337" s="436"/>
    </row>
    <row r="338" spans="10:11" x14ac:dyDescent="0.25">
      <c r="J338" s="436"/>
      <c r="K338" s="436"/>
    </row>
    <row r="339" spans="10:11" x14ac:dyDescent="0.25">
      <c r="J339" s="436"/>
      <c r="K339" s="436"/>
    </row>
    <row r="340" spans="10:11" x14ac:dyDescent="0.25">
      <c r="J340" s="436"/>
      <c r="K340" s="436"/>
    </row>
    <row r="341" spans="10:11" x14ac:dyDescent="0.25">
      <c r="J341" s="436"/>
      <c r="K341" s="436"/>
    </row>
    <row r="342" spans="10:11" x14ac:dyDescent="0.25">
      <c r="J342" s="436"/>
      <c r="K342" s="436"/>
    </row>
    <row r="343" spans="10:11" x14ac:dyDescent="0.25">
      <c r="J343" s="436"/>
      <c r="K343" s="436"/>
    </row>
    <row r="344" spans="10:11" x14ac:dyDescent="0.25">
      <c r="J344" s="436"/>
      <c r="K344" s="436"/>
    </row>
    <row r="345" spans="10:11" x14ac:dyDescent="0.25">
      <c r="J345" s="436"/>
      <c r="K345" s="436"/>
    </row>
    <row r="346" spans="10:11" x14ac:dyDescent="0.25">
      <c r="J346" s="436"/>
      <c r="K346" s="436"/>
    </row>
    <row r="347" spans="10:11" x14ac:dyDescent="0.25">
      <c r="J347" s="436"/>
      <c r="K347" s="436"/>
    </row>
    <row r="348" spans="10:11" x14ac:dyDescent="0.25">
      <c r="J348" s="436"/>
      <c r="K348" s="436"/>
    </row>
    <row r="349" spans="10:11" x14ac:dyDescent="0.25">
      <c r="J349" s="436"/>
      <c r="K349" s="436"/>
    </row>
    <row r="350" spans="10:11" x14ac:dyDescent="0.25">
      <c r="J350" s="436"/>
      <c r="K350" s="436"/>
    </row>
    <row r="351" spans="10:11" x14ac:dyDescent="0.25">
      <c r="J351" s="436"/>
      <c r="K351" s="436"/>
    </row>
    <row r="352" spans="10:11" x14ac:dyDescent="0.25">
      <c r="J352" s="436"/>
      <c r="K352" s="436"/>
    </row>
    <row r="353" spans="10:11" x14ac:dyDescent="0.25">
      <c r="J353" s="436"/>
      <c r="K353" s="436"/>
    </row>
    <row r="354" spans="10:11" x14ac:dyDescent="0.25">
      <c r="J354" s="436"/>
      <c r="K354" s="436"/>
    </row>
    <row r="355" spans="10:11" x14ac:dyDescent="0.25">
      <c r="J355" s="436"/>
      <c r="K355" s="436"/>
    </row>
    <row r="356" spans="10:11" x14ac:dyDescent="0.25">
      <c r="J356" s="436"/>
      <c r="K356" s="436"/>
    </row>
    <row r="357" spans="10:11" x14ac:dyDescent="0.25">
      <c r="J357" s="436"/>
      <c r="K357" s="436"/>
    </row>
    <row r="358" spans="10:11" x14ac:dyDescent="0.25">
      <c r="J358" s="436"/>
      <c r="K358" s="436"/>
    </row>
    <row r="359" spans="10:11" x14ac:dyDescent="0.25">
      <c r="J359" s="436"/>
      <c r="K359" s="436"/>
    </row>
    <row r="360" spans="10:11" x14ac:dyDescent="0.25">
      <c r="J360" s="436"/>
      <c r="K360" s="436"/>
    </row>
    <row r="361" spans="10:11" x14ac:dyDescent="0.25">
      <c r="J361" s="436"/>
      <c r="K361" s="436"/>
    </row>
    <row r="362" spans="10:11" x14ac:dyDescent="0.25">
      <c r="J362" s="436"/>
      <c r="K362" s="436"/>
    </row>
    <row r="363" spans="10:11" x14ac:dyDescent="0.25">
      <c r="J363" s="436"/>
      <c r="K363" s="436"/>
    </row>
    <row r="364" spans="10:11" x14ac:dyDescent="0.25">
      <c r="J364" s="436"/>
      <c r="K364" s="436"/>
    </row>
    <row r="365" spans="10:11" x14ac:dyDescent="0.25">
      <c r="J365" s="436"/>
      <c r="K365" s="436"/>
    </row>
    <row r="366" spans="10:11" x14ac:dyDescent="0.25">
      <c r="J366" s="436"/>
      <c r="K366" s="436"/>
    </row>
    <row r="367" spans="10:11" x14ac:dyDescent="0.25">
      <c r="J367" s="436"/>
      <c r="K367" s="436"/>
    </row>
    <row r="368" spans="10:11" x14ac:dyDescent="0.25">
      <c r="J368" s="436"/>
      <c r="K368" s="436"/>
    </row>
    <row r="369" spans="10:11" x14ac:dyDescent="0.25">
      <c r="J369" s="436"/>
      <c r="K369" s="436"/>
    </row>
    <row r="370" spans="10:11" x14ac:dyDescent="0.25">
      <c r="J370" s="436"/>
      <c r="K370" s="436"/>
    </row>
    <row r="371" spans="10:11" x14ac:dyDescent="0.25">
      <c r="J371" s="436"/>
      <c r="K371" s="436"/>
    </row>
    <row r="372" spans="10:11" x14ac:dyDescent="0.25">
      <c r="J372" s="436"/>
      <c r="K372" s="436"/>
    </row>
    <row r="373" spans="10:11" x14ac:dyDescent="0.25">
      <c r="J373" s="436"/>
      <c r="K373" s="436"/>
    </row>
    <row r="374" spans="10:11" x14ac:dyDescent="0.25">
      <c r="J374" s="436"/>
      <c r="K374" s="436"/>
    </row>
    <row r="375" spans="10:11" x14ac:dyDescent="0.25">
      <c r="J375" s="436"/>
      <c r="K375" s="436"/>
    </row>
    <row r="376" spans="10:11" x14ac:dyDescent="0.25">
      <c r="J376" s="436"/>
      <c r="K376" s="436"/>
    </row>
    <row r="377" spans="10:11" x14ac:dyDescent="0.25">
      <c r="J377" s="436"/>
      <c r="K377" s="436"/>
    </row>
    <row r="378" spans="10:11" x14ac:dyDescent="0.25">
      <c r="J378" s="436"/>
      <c r="K378" s="436"/>
    </row>
    <row r="379" spans="10:11" x14ac:dyDescent="0.25">
      <c r="J379" s="436"/>
      <c r="K379" s="436"/>
    </row>
    <row r="380" spans="10:11" x14ac:dyDescent="0.25">
      <c r="J380" s="436"/>
      <c r="K380" s="436"/>
    </row>
    <row r="381" spans="10:11" x14ac:dyDescent="0.25">
      <c r="J381" s="436"/>
      <c r="K381" s="436"/>
    </row>
    <row r="382" spans="10:11" x14ac:dyDescent="0.25">
      <c r="J382" s="436"/>
      <c r="K382" s="436"/>
    </row>
    <row r="383" spans="10:11" x14ac:dyDescent="0.25">
      <c r="J383" s="436"/>
      <c r="K383" s="436"/>
    </row>
    <row r="384" spans="10:11" x14ac:dyDescent="0.25">
      <c r="J384" s="436"/>
      <c r="K384" s="436"/>
    </row>
    <row r="385" spans="10:11" x14ac:dyDescent="0.25">
      <c r="J385" s="436"/>
      <c r="K385" s="436"/>
    </row>
    <row r="386" spans="10:11" x14ac:dyDescent="0.25">
      <c r="J386" s="436"/>
      <c r="K386" s="436"/>
    </row>
    <row r="387" spans="10:11" x14ac:dyDescent="0.25">
      <c r="J387" s="436"/>
      <c r="K387" s="436"/>
    </row>
    <row r="388" spans="10:11" x14ac:dyDescent="0.25">
      <c r="J388" s="436"/>
      <c r="K388" s="436"/>
    </row>
    <row r="389" spans="10:11" x14ac:dyDescent="0.25">
      <c r="J389" s="436"/>
      <c r="K389" s="436"/>
    </row>
    <row r="390" spans="10:11" x14ac:dyDescent="0.25">
      <c r="J390" s="436"/>
      <c r="K390" s="436"/>
    </row>
    <row r="391" spans="10:11" x14ac:dyDescent="0.25">
      <c r="J391" s="436"/>
      <c r="K391" s="436"/>
    </row>
    <row r="392" spans="10:11" x14ac:dyDescent="0.25">
      <c r="J392" s="436"/>
      <c r="K392" s="436"/>
    </row>
    <row r="393" spans="10:11" x14ac:dyDescent="0.25">
      <c r="J393" s="436"/>
      <c r="K393" s="436"/>
    </row>
    <row r="394" spans="10:11" x14ac:dyDescent="0.25">
      <c r="J394" s="436"/>
      <c r="K394" s="436"/>
    </row>
    <row r="395" spans="10:11" x14ac:dyDescent="0.25">
      <c r="J395" s="436"/>
      <c r="K395" s="436"/>
    </row>
    <row r="396" spans="10:11" x14ac:dyDescent="0.25">
      <c r="J396" s="436"/>
      <c r="K396" s="436"/>
    </row>
    <row r="397" spans="10:11" x14ac:dyDescent="0.25">
      <c r="J397" s="436"/>
      <c r="K397" s="436"/>
    </row>
    <row r="398" spans="10:11" x14ac:dyDescent="0.25">
      <c r="J398" s="436"/>
      <c r="K398" s="436"/>
    </row>
    <row r="399" spans="10:11" x14ac:dyDescent="0.25">
      <c r="J399" s="436"/>
      <c r="K399" s="436"/>
    </row>
    <row r="400" spans="10:11" x14ac:dyDescent="0.25">
      <c r="J400" s="436"/>
      <c r="K400" s="436"/>
    </row>
    <row r="401" spans="10:11" x14ac:dyDescent="0.25">
      <c r="J401" s="436"/>
      <c r="K401" s="436"/>
    </row>
    <row r="402" spans="10:11" x14ac:dyDescent="0.25">
      <c r="J402" s="436"/>
      <c r="K402" s="436"/>
    </row>
    <row r="403" spans="10:11" x14ac:dyDescent="0.25">
      <c r="J403" s="436"/>
      <c r="K403" s="436"/>
    </row>
    <row r="404" spans="10:11" x14ac:dyDescent="0.25">
      <c r="J404" s="436"/>
      <c r="K404" s="436"/>
    </row>
    <row r="405" spans="10:11" x14ac:dyDescent="0.25">
      <c r="J405" s="436"/>
      <c r="K405" s="436"/>
    </row>
    <row r="406" spans="10:11" x14ac:dyDescent="0.25">
      <c r="J406" s="436"/>
      <c r="K406" s="436"/>
    </row>
    <row r="407" spans="10:11" x14ac:dyDescent="0.25">
      <c r="J407" s="436"/>
      <c r="K407" s="436"/>
    </row>
    <row r="408" spans="10:11" x14ac:dyDescent="0.25">
      <c r="J408" s="436"/>
      <c r="K408" s="436"/>
    </row>
    <row r="409" spans="10:11" x14ac:dyDescent="0.25">
      <c r="J409" s="436"/>
      <c r="K409" s="436"/>
    </row>
    <row r="410" spans="10:11" x14ac:dyDescent="0.25">
      <c r="J410" s="436"/>
      <c r="K410" s="436"/>
    </row>
    <row r="411" spans="10:11" x14ac:dyDescent="0.25">
      <c r="J411" s="436"/>
      <c r="K411" s="436"/>
    </row>
    <row r="412" spans="10:11" x14ac:dyDescent="0.25">
      <c r="J412" s="436"/>
      <c r="K412" s="436"/>
    </row>
    <row r="413" spans="10:11" x14ac:dyDescent="0.25">
      <c r="J413" s="436"/>
      <c r="K413" s="436"/>
    </row>
    <row r="414" spans="10:11" x14ac:dyDescent="0.25">
      <c r="J414" s="436"/>
      <c r="K414" s="436"/>
    </row>
    <row r="415" spans="10:11" x14ac:dyDescent="0.25">
      <c r="J415" s="436"/>
      <c r="K415" s="436"/>
    </row>
    <row r="416" spans="10:11" x14ac:dyDescent="0.25">
      <c r="J416" s="436"/>
      <c r="K416" s="436"/>
    </row>
    <row r="417" spans="10:11" x14ac:dyDescent="0.25">
      <c r="J417" s="436"/>
      <c r="K417" s="436"/>
    </row>
    <row r="418" spans="10:11" x14ac:dyDescent="0.25">
      <c r="J418" s="436"/>
      <c r="K418" s="436"/>
    </row>
    <row r="419" spans="10:11" x14ac:dyDescent="0.25">
      <c r="J419" s="436"/>
      <c r="K419" s="436"/>
    </row>
    <row r="420" spans="10:11" x14ac:dyDescent="0.25">
      <c r="J420" s="436"/>
      <c r="K420" s="436"/>
    </row>
    <row r="421" spans="10:11" x14ac:dyDescent="0.25">
      <c r="J421" s="436"/>
      <c r="K421" s="436"/>
    </row>
    <row r="422" spans="10:11" x14ac:dyDescent="0.25">
      <c r="J422" s="436"/>
      <c r="K422" s="436"/>
    </row>
    <row r="423" spans="10:11" x14ac:dyDescent="0.25">
      <c r="J423" s="436"/>
      <c r="K423" s="436"/>
    </row>
    <row r="424" spans="10:11" x14ac:dyDescent="0.25">
      <c r="J424" s="436"/>
      <c r="K424" s="436"/>
    </row>
    <row r="425" spans="10:11" x14ac:dyDescent="0.25">
      <c r="J425" s="436"/>
      <c r="K425" s="436"/>
    </row>
    <row r="426" spans="10:11" x14ac:dyDescent="0.25">
      <c r="J426" s="436"/>
      <c r="K426" s="436"/>
    </row>
    <row r="427" spans="10:11" x14ac:dyDescent="0.25">
      <c r="J427" s="436"/>
      <c r="K427" s="436"/>
    </row>
    <row r="428" spans="10:11" x14ac:dyDescent="0.25">
      <c r="J428" s="436"/>
      <c r="K428" s="436"/>
    </row>
    <row r="429" spans="10:11" x14ac:dyDescent="0.25">
      <c r="J429" s="436"/>
      <c r="K429" s="436"/>
    </row>
    <row r="430" spans="10:11" x14ac:dyDescent="0.25">
      <c r="J430" s="436"/>
      <c r="K430" s="436"/>
    </row>
    <row r="431" spans="10:11" x14ac:dyDescent="0.25">
      <c r="J431" s="436"/>
      <c r="K431" s="436"/>
    </row>
    <row r="432" spans="10:11" x14ac:dyDescent="0.25">
      <c r="J432" s="436"/>
      <c r="K432" s="436"/>
    </row>
    <row r="433" spans="10:11" x14ac:dyDescent="0.25">
      <c r="J433" s="436"/>
      <c r="K433" s="436"/>
    </row>
    <row r="434" spans="10:11" x14ac:dyDescent="0.25">
      <c r="J434" s="436"/>
      <c r="K434" s="436"/>
    </row>
    <row r="435" spans="10:11" x14ac:dyDescent="0.25">
      <c r="J435" s="436"/>
      <c r="K435" s="436"/>
    </row>
    <row r="436" spans="10:11" x14ac:dyDescent="0.25">
      <c r="J436" s="436"/>
      <c r="K436" s="436"/>
    </row>
    <row r="437" spans="10:11" x14ac:dyDescent="0.25">
      <c r="J437" s="436"/>
      <c r="K437" s="436"/>
    </row>
    <row r="438" spans="10:11" x14ac:dyDescent="0.25">
      <c r="J438" s="436"/>
      <c r="K438" s="436"/>
    </row>
    <row r="439" spans="10:11" x14ac:dyDescent="0.25">
      <c r="J439" s="436"/>
      <c r="K439" s="436"/>
    </row>
    <row r="440" spans="10:11" x14ac:dyDescent="0.25">
      <c r="J440" s="436"/>
      <c r="K440" s="436"/>
    </row>
    <row r="441" spans="10:11" x14ac:dyDescent="0.25">
      <c r="J441" s="436"/>
      <c r="K441" s="436"/>
    </row>
    <row r="442" spans="10:11" x14ac:dyDescent="0.25">
      <c r="J442" s="436"/>
      <c r="K442" s="436"/>
    </row>
    <row r="443" spans="10:11" x14ac:dyDescent="0.25">
      <c r="J443" s="436"/>
      <c r="K443" s="436"/>
    </row>
    <row r="444" spans="10:11" x14ac:dyDescent="0.25">
      <c r="J444" s="436"/>
      <c r="K444" s="436"/>
    </row>
    <row r="445" spans="10:11" x14ac:dyDescent="0.25">
      <c r="J445" s="436"/>
      <c r="K445" s="436"/>
    </row>
    <row r="446" spans="10:11" x14ac:dyDescent="0.25">
      <c r="J446" s="436"/>
      <c r="K446" s="436"/>
    </row>
    <row r="447" spans="10:11" x14ac:dyDescent="0.25">
      <c r="J447" s="436"/>
      <c r="K447" s="436"/>
    </row>
    <row r="448" spans="10:11" x14ac:dyDescent="0.25">
      <c r="J448" s="436"/>
      <c r="K448" s="436"/>
    </row>
    <row r="449" spans="10:11" x14ac:dyDescent="0.25">
      <c r="J449" s="436"/>
      <c r="K449" s="436"/>
    </row>
    <row r="450" spans="10:11" x14ac:dyDescent="0.25">
      <c r="J450" s="436"/>
      <c r="K450" s="436"/>
    </row>
    <row r="451" spans="10:11" x14ac:dyDescent="0.25">
      <c r="J451" s="436"/>
      <c r="K451" s="436"/>
    </row>
    <row r="452" spans="10:11" x14ac:dyDescent="0.25">
      <c r="J452" s="436"/>
      <c r="K452" s="436"/>
    </row>
    <row r="453" spans="10:11" x14ac:dyDescent="0.25">
      <c r="J453" s="436"/>
      <c r="K453" s="436"/>
    </row>
    <row r="454" spans="10:11" x14ac:dyDescent="0.25">
      <c r="J454" s="436"/>
      <c r="K454" s="436"/>
    </row>
    <row r="455" spans="10:11" x14ac:dyDescent="0.25">
      <c r="J455" s="436"/>
      <c r="K455" s="436"/>
    </row>
    <row r="456" spans="10:11" x14ac:dyDescent="0.25">
      <c r="J456" s="436"/>
      <c r="K456" s="436"/>
    </row>
    <row r="457" spans="10:11" x14ac:dyDescent="0.25">
      <c r="J457" s="436"/>
      <c r="K457" s="436"/>
    </row>
    <row r="458" spans="10:11" x14ac:dyDescent="0.25">
      <c r="J458" s="436"/>
      <c r="K458" s="436"/>
    </row>
    <row r="459" spans="10:11" x14ac:dyDescent="0.25">
      <c r="J459" s="436"/>
      <c r="K459" s="436"/>
    </row>
    <row r="460" spans="10:11" x14ac:dyDescent="0.25">
      <c r="J460" s="436"/>
      <c r="K460" s="436"/>
    </row>
    <row r="461" spans="10:11" x14ac:dyDescent="0.25">
      <c r="J461" s="436"/>
      <c r="K461" s="436"/>
    </row>
    <row r="462" spans="10:11" x14ac:dyDescent="0.25">
      <c r="J462" s="436"/>
      <c r="K462" s="436"/>
    </row>
    <row r="463" spans="10:11" x14ac:dyDescent="0.25">
      <c r="J463" s="436"/>
      <c r="K463" s="436"/>
    </row>
    <row r="464" spans="10:11" x14ac:dyDescent="0.25">
      <c r="J464" s="436"/>
      <c r="K464" s="436"/>
    </row>
    <row r="465" spans="10:11" x14ac:dyDescent="0.25">
      <c r="J465" s="436"/>
      <c r="K465" s="436"/>
    </row>
    <row r="466" spans="10:11" x14ac:dyDescent="0.25">
      <c r="J466" s="436"/>
      <c r="K466" s="436"/>
    </row>
    <row r="467" spans="10:11" x14ac:dyDescent="0.25">
      <c r="J467" s="436"/>
      <c r="K467" s="436"/>
    </row>
    <row r="468" spans="10:11" x14ac:dyDescent="0.25">
      <c r="J468" s="436"/>
      <c r="K468" s="436"/>
    </row>
    <row r="469" spans="10:11" x14ac:dyDescent="0.25">
      <c r="J469" s="436"/>
      <c r="K469" s="436"/>
    </row>
    <row r="470" spans="10:11" x14ac:dyDescent="0.25">
      <c r="J470" s="436"/>
      <c r="K470" s="436"/>
    </row>
    <row r="471" spans="10:11" x14ac:dyDescent="0.25">
      <c r="J471" s="436"/>
      <c r="K471" s="436"/>
    </row>
    <row r="472" spans="10:11" x14ac:dyDescent="0.25">
      <c r="J472" s="436"/>
      <c r="K472" s="436"/>
    </row>
    <row r="473" spans="10:11" x14ac:dyDescent="0.25">
      <c r="J473" s="436"/>
      <c r="K473" s="436"/>
    </row>
    <row r="474" spans="10:11" x14ac:dyDescent="0.25">
      <c r="J474" s="436"/>
      <c r="K474" s="436"/>
    </row>
    <row r="475" spans="10:11" x14ac:dyDescent="0.25">
      <c r="J475" s="436"/>
      <c r="K475" s="436"/>
    </row>
    <row r="476" spans="10:11" x14ac:dyDescent="0.25">
      <c r="J476" s="436"/>
      <c r="K476" s="436"/>
    </row>
    <row r="477" spans="10:11" x14ac:dyDescent="0.25">
      <c r="J477" s="436"/>
      <c r="K477" s="436"/>
    </row>
    <row r="478" spans="10:11" x14ac:dyDescent="0.25">
      <c r="J478" s="436"/>
      <c r="K478" s="436"/>
    </row>
    <row r="479" spans="10:11" x14ac:dyDescent="0.25">
      <c r="J479" s="436"/>
      <c r="K479" s="436"/>
    </row>
    <row r="480" spans="10:11" x14ac:dyDescent="0.25">
      <c r="J480" s="436"/>
      <c r="K480" s="436"/>
    </row>
    <row r="481" spans="10:11" x14ac:dyDescent="0.25">
      <c r="J481" s="436"/>
      <c r="K481" s="436"/>
    </row>
    <row r="482" spans="10:11" x14ac:dyDescent="0.25">
      <c r="J482" s="436"/>
      <c r="K482" s="436"/>
    </row>
    <row r="483" spans="10:11" x14ac:dyDescent="0.25">
      <c r="J483" s="436"/>
      <c r="K483" s="436"/>
    </row>
    <row r="484" spans="10:11" x14ac:dyDescent="0.25">
      <c r="J484" s="436"/>
      <c r="K484" s="436"/>
    </row>
    <row r="485" spans="10:11" x14ac:dyDescent="0.25">
      <c r="J485" s="436"/>
      <c r="K485" s="436"/>
    </row>
    <row r="486" spans="10:11" x14ac:dyDescent="0.25">
      <c r="J486" s="436"/>
      <c r="K486" s="436"/>
    </row>
    <row r="487" spans="10:11" x14ac:dyDescent="0.25">
      <c r="J487" s="436"/>
      <c r="K487" s="436"/>
    </row>
    <row r="488" spans="10:11" x14ac:dyDescent="0.25">
      <c r="J488" s="436"/>
      <c r="K488" s="436"/>
    </row>
    <row r="489" spans="10:11" x14ac:dyDescent="0.25">
      <c r="J489" s="436"/>
      <c r="K489" s="436"/>
    </row>
    <row r="490" spans="10:11" x14ac:dyDescent="0.25">
      <c r="J490" s="436"/>
      <c r="K490" s="436"/>
    </row>
    <row r="491" spans="10:11" x14ac:dyDescent="0.25">
      <c r="J491" s="436"/>
      <c r="K491" s="436"/>
    </row>
    <row r="492" spans="10:11" x14ac:dyDescent="0.25">
      <c r="J492" s="436"/>
      <c r="K492" s="436"/>
    </row>
    <row r="493" spans="10:11" x14ac:dyDescent="0.25">
      <c r="J493" s="436"/>
      <c r="K493" s="436"/>
    </row>
    <row r="494" spans="10:11" x14ac:dyDescent="0.25">
      <c r="J494" s="436"/>
      <c r="K494" s="436"/>
    </row>
    <row r="495" spans="10:11" x14ac:dyDescent="0.25">
      <c r="J495" s="436"/>
      <c r="K495" s="436"/>
    </row>
    <row r="496" spans="10:11" x14ac:dyDescent="0.25">
      <c r="J496" s="436"/>
      <c r="K496" s="436"/>
    </row>
    <row r="497" spans="10:11" x14ac:dyDescent="0.25">
      <c r="J497" s="436"/>
      <c r="K497" s="436"/>
    </row>
    <row r="498" spans="10:11" x14ac:dyDescent="0.25">
      <c r="J498" s="436"/>
      <c r="K498" s="436"/>
    </row>
    <row r="499" spans="10:11" x14ac:dyDescent="0.25">
      <c r="J499" s="436"/>
      <c r="K499" s="436"/>
    </row>
    <row r="500" spans="10:11" x14ac:dyDescent="0.25">
      <c r="J500" s="436"/>
      <c r="K500" s="436"/>
    </row>
    <row r="501" spans="10:11" x14ac:dyDescent="0.25">
      <c r="J501" s="436"/>
      <c r="K501" s="436"/>
    </row>
    <row r="502" spans="10:11" x14ac:dyDescent="0.25">
      <c r="J502" s="436"/>
      <c r="K502" s="436"/>
    </row>
    <row r="503" spans="10:11" x14ac:dyDescent="0.25">
      <c r="J503" s="436"/>
      <c r="K503" s="436"/>
    </row>
    <row r="504" spans="10:11" x14ac:dyDescent="0.25">
      <c r="J504" s="436"/>
      <c r="K504" s="436"/>
    </row>
    <row r="505" spans="10:11" x14ac:dyDescent="0.25">
      <c r="J505" s="436"/>
      <c r="K505" s="436"/>
    </row>
    <row r="506" spans="10:11" x14ac:dyDescent="0.25">
      <c r="J506" s="436"/>
      <c r="K506" s="436"/>
    </row>
    <row r="507" spans="10:11" x14ac:dyDescent="0.25">
      <c r="J507" s="436"/>
      <c r="K507" s="436"/>
    </row>
    <row r="508" spans="10:11" x14ac:dyDescent="0.25">
      <c r="J508" s="436"/>
      <c r="K508" s="436"/>
    </row>
    <row r="509" spans="10:11" x14ac:dyDescent="0.25">
      <c r="J509" s="436"/>
      <c r="K509" s="436"/>
    </row>
    <row r="510" spans="10:11" x14ac:dyDescent="0.25">
      <c r="J510" s="436"/>
      <c r="K510" s="436"/>
    </row>
    <row r="511" spans="10:11" x14ac:dyDescent="0.25">
      <c r="J511" s="436"/>
      <c r="K511" s="436"/>
    </row>
    <row r="512" spans="10:11" x14ac:dyDescent="0.25">
      <c r="J512" s="436"/>
      <c r="K512" s="436"/>
    </row>
    <row r="513" spans="10:11" x14ac:dyDescent="0.25">
      <c r="J513" s="436"/>
      <c r="K513" s="436"/>
    </row>
    <row r="514" spans="10:11" x14ac:dyDescent="0.25">
      <c r="J514" s="436"/>
      <c r="K514" s="436"/>
    </row>
    <row r="515" spans="10:11" x14ac:dyDescent="0.25">
      <c r="J515" s="436"/>
      <c r="K515" s="436"/>
    </row>
    <row r="516" spans="10:11" x14ac:dyDescent="0.25">
      <c r="J516" s="436"/>
      <c r="K516" s="436"/>
    </row>
    <row r="517" spans="10:11" x14ac:dyDescent="0.25">
      <c r="J517" s="436"/>
      <c r="K517" s="436"/>
    </row>
    <row r="518" spans="10:11" x14ac:dyDescent="0.25">
      <c r="J518" s="436"/>
      <c r="K518" s="436"/>
    </row>
    <row r="519" spans="10:11" x14ac:dyDescent="0.25">
      <c r="J519" s="436"/>
      <c r="K519" s="436"/>
    </row>
    <row r="520" spans="10:11" x14ac:dyDescent="0.25">
      <c r="J520" s="436"/>
      <c r="K520" s="436"/>
    </row>
    <row r="521" spans="10:11" x14ac:dyDescent="0.25">
      <c r="J521" s="436"/>
      <c r="K521" s="436"/>
    </row>
    <row r="522" spans="10:11" x14ac:dyDescent="0.25">
      <c r="J522" s="436"/>
      <c r="K522" s="436"/>
    </row>
    <row r="523" spans="10:11" x14ac:dyDescent="0.25">
      <c r="J523" s="436"/>
      <c r="K523" s="436"/>
    </row>
    <row r="524" spans="10:11" x14ac:dyDescent="0.25">
      <c r="J524" s="436"/>
      <c r="K524" s="436"/>
    </row>
    <row r="525" spans="10:11" x14ac:dyDescent="0.25">
      <c r="J525" s="436"/>
      <c r="K525" s="436"/>
    </row>
    <row r="526" spans="10:11" x14ac:dyDescent="0.25">
      <c r="J526" s="436"/>
      <c r="K526" s="436"/>
    </row>
    <row r="527" spans="10:11" x14ac:dyDescent="0.25">
      <c r="J527" s="436"/>
      <c r="K527" s="436"/>
    </row>
    <row r="528" spans="10:11" x14ac:dyDescent="0.25">
      <c r="J528" s="436"/>
      <c r="K528" s="436"/>
    </row>
    <row r="529" spans="10:11" x14ac:dyDescent="0.25">
      <c r="J529" s="436"/>
      <c r="K529" s="436"/>
    </row>
    <row r="530" spans="10:11" x14ac:dyDescent="0.25">
      <c r="J530" s="436"/>
      <c r="K530" s="436"/>
    </row>
    <row r="531" spans="10:11" x14ac:dyDescent="0.25">
      <c r="J531" s="436"/>
      <c r="K531" s="436"/>
    </row>
    <row r="532" spans="10:11" x14ac:dyDescent="0.25">
      <c r="J532" s="436"/>
      <c r="K532" s="436"/>
    </row>
    <row r="533" spans="10:11" x14ac:dyDescent="0.25">
      <c r="J533" s="436"/>
      <c r="K533" s="436"/>
    </row>
    <row r="534" spans="10:11" x14ac:dyDescent="0.25">
      <c r="J534" s="436"/>
      <c r="K534" s="436"/>
    </row>
    <row r="535" spans="10:11" x14ac:dyDescent="0.25">
      <c r="J535" s="436"/>
      <c r="K535" s="436"/>
    </row>
    <row r="536" spans="10:11" x14ac:dyDescent="0.25">
      <c r="J536" s="436"/>
      <c r="K536" s="436"/>
    </row>
    <row r="537" spans="10:11" x14ac:dyDescent="0.25">
      <c r="J537" s="436"/>
      <c r="K537" s="436"/>
    </row>
    <row r="538" spans="10:11" x14ac:dyDescent="0.25">
      <c r="J538" s="436"/>
      <c r="K538" s="436"/>
    </row>
    <row r="539" spans="10:11" x14ac:dyDescent="0.25">
      <c r="J539" s="436"/>
      <c r="K539" s="436"/>
    </row>
    <row r="540" spans="10:11" x14ac:dyDescent="0.25">
      <c r="J540" s="436"/>
      <c r="K540" s="436"/>
    </row>
    <row r="541" spans="10:11" x14ac:dyDescent="0.25">
      <c r="J541" s="436"/>
      <c r="K541" s="436"/>
    </row>
    <row r="542" spans="10:11" x14ac:dyDescent="0.25">
      <c r="J542" s="436"/>
      <c r="K542" s="436"/>
    </row>
    <row r="543" spans="10:11" x14ac:dyDescent="0.25">
      <c r="J543" s="436"/>
      <c r="K543" s="436"/>
    </row>
    <row r="544" spans="10:11" x14ac:dyDescent="0.25">
      <c r="J544" s="436"/>
      <c r="K544" s="436"/>
    </row>
    <row r="545" spans="10:11" x14ac:dyDescent="0.25">
      <c r="J545" s="436"/>
      <c r="K545" s="436"/>
    </row>
    <row r="546" spans="10:11" x14ac:dyDescent="0.25">
      <c r="J546" s="436"/>
      <c r="K546" s="436"/>
    </row>
    <row r="547" spans="10:11" x14ac:dyDescent="0.25">
      <c r="J547" s="436"/>
      <c r="K547" s="436"/>
    </row>
    <row r="548" spans="10:11" x14ac:dyDescent="0.25">
      <c r="J548" s="436"/>
      <c r="K548" s="436"/>
    </row>
    <row r="549" spans="10:11" x14ac:dyDescent="0.25">
      <c r="J549" s="436"/>
      <c r="K549" s="436"/>
    </row>
    <row r="550" spans="10:11" x14ac:dyDescent="0.25">
      <c r="J550" s="436"/>
      <c r="K550" s="436"/>
    </row>
    <row r="551" spans="10:11" x14ac:dyDescent="0.25">
      <c r="J551" s="436"/>
      <c r="K551" s="436"/>
    </row>
    <row r="552" spans="10:11" x14ac:dyDescent="0.25">
      <c r="J552" s="436"/>
      <c r="K552" s="436"/>
    </row>
    <row r="553" spans="10:11" x14ac:dyDescent="0.25">
      <c r="J553" s="436"/>
      <c r="K553" s="436"/>
    </row>
    <row r="554" spans="10:11" x14ac:dyDescent="0.25">
      <c r="J554" s="436"/>
      <c r="K554" s="436"/>
    </row>
    <row r="555" spans="10:11" x14ac:dyDescent="0.25">
      <c r="J555" s="436"/>
      <c r="K555" s="436"/>
    </row>
    <row r="556" spans="10:11" x14ac:dyDescent="0.25">
      <c r="J556" s="436"/>
      <c r="K556" s="436"/>
    </row>
    <row r="557" spans="10:11" x14ac:dyDescent="0.25">
      <c r="J557" s="436"/>
      <c r="K557" s="436"/>
    </row>
    <row r="558" spans="10:11" x14ac:dyDescent="0.25">
      <c r="J558" s="436"/>
      <c r="K558" s="436"/>
    </row>
    <row r="559" spans="10:11" x14ac:dyDescent="0.25">
      <c r="J559" s="436"/>
      <c r="K559" s="436"/>
    </row>
    <row r="560" spans="10:11" x14ac:dyDescent="0.25">
      <c r="J560" s="436"/>
      <c r="K560" s="436"/>
    </row>
    <row r="561" spans="10:11" x14ac:dyDescent="0.25">
      <c r="J561" s="436"/>
      <c r="K561" s="436"/>
    </row>
    <row r="562" spans="10:11" x14ac:dyDescent="0.25">
      <c r="J562" s="436"/>
      <c r="K562" s="436"/>
    </row>
    <row r="563" spans="10:11" x14ac:dyDescent="0.25">
      <c r="J563" s="436"/>
      <c r="K563" s="436"/>
    </row>
    <row r="564" spans="10:11" x14ac:dyDescent="0.25">
      <c r="J564" s="436"/>
      <c r="K564" s="436"/>
    </row>
    <row r="565" spans="10:11" x14ac:dyDescent="0.25">
      <c r="J565" s="436"/>
      <c r="K565" s="436"/>
    </row>
    <row r="566" spans="10:11" x14ac:dyDescent="0.25">
      <c r="J566" s="436"/>
      <c r="K566" s="436"/>
    </row>
    <row r="567" spans="10:11" x14ac:dyDescent="0.25">
      <c r="J567" s="436"/>
      <c r="K567" s="436"/>
    </row>
    <row r="568" spans="10:11" x14ac:dyDescent="0.25">
      <c r="J568" s="436"/>
      <c r="K568" s="436"/>
    </row>
    <row r="569" spans="10:11" x14ac:dyDescent="0.25">
      <c r="J569" s="436"/>
      <c r="K569" s="436"/>
    </row>
    <row r="570" spans="10:11" x14ac:dyDescent="0.25">
      <c r="J570" s="436"/>
      <c r="K570" s="436"/>
    </row>
    <row r="571" spans="10:11" x14ac:dyDescent="0.25">
      <c r="J571" s="436"/>
      <c r="K571" s="436"/>
    </row>
    <row r="572" spans="10:11" x14ac:dyDescent="0.25">
      <c r="J572" s="436"/>
      <c r="K572" s="436"/>
    </row>
    <row r="573" spans="10:11" x14ac:dyDescent="0.25">
      <c r="J573" s="436"/>
      <c r="K573" s="436"/>
    </row>
    <row r="574" spans="10:11" x14ac:dyDescent="0.25">
      <c r="J574" s="436"/>
      <c r="K574" s="436"/>
    </row>
    <row r="575" spans="10:11" x14ac:dyDescent="0.25">
      <c r="J575" s="436"/>
      <c r="K575" s="436"/>
    </row>
    <row r="576" spans="10:11" x14ac:dyDescent="0.25">
      <c r="J576" s="436"/>
      <c r="K576" s="436"/>
    </row>
    <row r="577" spans="10:11" x14ac:dyDescent="0.25">
      <c r="J577" s="436"/>
      <c r="K577" s="436"/>
    </row>
    <row r="578" spans="10:11" x14ac:dyDescent="0.25">
      <c r="J578" s="436"/>
      <c r="K578" s="436"/>
    </row>
    <row r="579" spans="10:11" x14ac:dyDescent="0.25">
      <c r="J579" s="436"/>
      <c r="K579" s="436"/>
    </row>
    <row r="580" spans="10:11" x14ac:dyDescent="0.25">
      <c r="J580" s="436"/>
      <c r="K580" s="436"/>
    </row>
    <row r="581" spans="10:11" x14ac:dyDescent="0.25">
      <c r="J581" s="436"/>
      <c r="K581" s="436"/>
    </row>
    <row r="582" spans="10:11" x14ac:dyDescent="0.25">
      <c r="J582" s="436"/>
      <c r="K582" s="436"/>
    </row>
    <row r="583" spans="10:11" x14ac:dyDescent="0.25">
      <c r="J583" s="436"/>
      <c r="K583" s="436"/>
    </row>
    <row r="584" spans="10:11" x14ac:dyDescent="0.25">
      <c r="J584" s="436"/>
      <c r="K584" s="436"/>
    </row>
    <row r="585" spans="10:11" x14ac:dyDescent="0.25">
      <c r="J585" s="436"/>
      <c r="K585" s="436"/>
    </row>
    <row r="586" spans="10:11" x14ac:dyDescent="0.25">
      <c r="J586" s="436"/>
      <c r="K586" s="436"/>
    </row>
    <row r="587" spans="10:11" x14ac:dyDescent="0.25">
      <c r="J587" s="436"/>
      <c r="K587" s="436"/>
    </row>
    <row r="588" spans="10:11" x14ac:dyDescent="0.25">
      <c r="J588" s="436"/>
      <c r="K588" s="436"/>
    </row>
    <row r="589" spans="10:11" x14ac:dyDescent="0.25">
      <c r="J589" s="436"/>
      <c r="K589" s="436"/>
    </row>
    <row r="590" spans="10:11" x14ac:dyDescent="0.25">
      <c r="J590" s="436"/>
      <c r="K590" s="436"/>
    </row>
    <row r="591" spans="10:11" x14ac:dyDescent="0.25">
      <c r="J591" s="436"/>
      <c r="K591" s="436"/>
    </row>
    <row r="592" spans="10:11" x14ac:dyDescent="0.25">
      <c r="J592" s="436"/>
      <c r="K592" s="436"/>
    </row>
    <row r="593" spans="10:11" x14ac:dyDescent="0.25">
      <c r="J593" s="436"/>
      <c r="K593" s="436"/>
    </row>
    <row r="594" spans="10:11" x14ac:dyDescent="0.25">
      <c r="J594" s="436"/>
      <c r="K594" s="436"/>
    </row>
    <row r="595" spans="10:11" x14ac:dyDescent="0.25">
      <c r="J595" s="436"/>
      <c r="K595" s="436"/>
    </row>
    <row r="596" spans="10:11" x14ac:dyDescent="0.25">
      <c r="J596" s="436"/>
      <c r="K596" s="436"/>
    </row>
    <row r="597" spans="10:11" x14ac:dyDescent="0.25">
      <c r="J597" s="436"/>
      <c r="K597" s="436"/>
    </row>
    <row r="598" spans="10:11" x14ac:dyDescent="0.25">
      <c r="J598" s="436"/>
      <c r="K598" s="436"/>
    </row>
    <row r="599" spans="10:11" x14ac:dyDescent="0.25">
      <c r="J599" s="436"/>
      <c r="K599" s="436"/>
    </row>
    <row r="600" spans="10:11" x14ac:dyDescent="0.25">
      <c r="J600" s="436"/>
      <c r="K600" s="436"/>
    </row>
    <row r="601" spans="10:11" x14ac:dyDescent="0.25">
      <c r="J601" s="436"/>
      <c r="K601" s="436"/>
    </row>
    <row r="602" spans="10:11" x14ac:dyDescent="0.25">
      <c r="J602" s="436"/>
      <c r="K602" s="436"/>
    </row>
    <row r="603" spans="10:11" x14ac:dyDescent="0.25">
      <c r="J603" s="436"/>
      <c r="K603" s="436"/>
    </row>
    <row r="604" spans="10:11" x14ac:dyDescent="0.25">
      <c r="J604" s="436"/>
      <c r="K604" s="436"/>
    </row>
    <row r="605" spans="10:11" x14ac:dyDescent="0.25">
      <c r="J605" s="436"/>
      <c r="K605" s="436"/>
    </row>
    <row r="606" spans="10:11" x14ac:dyDescent="0.25">
      <c r="J606" s="436"/>
      <c r="K606" s="436"/>
    </row>
    <row r="607" spans="10:11" x14ac:dyDescent="0.25">
      <c r="J607" s="436"/>
      <c r="K607" s="436"/>
    </row>
    <row r="608" spans="10:11" x14ac:dyDescent="0.25">
      <c r="J608" s="436"/>
      <c r="K608" s="436"/>
    </row>
    <row r="609" spans="10:11" x14ac:dyDescent="0.25">
      <c r="J609" s="436"/>
      <c r="K609" s="436"/>
    </row>
    <row r="610" spans="10:11" x14ac:dyDescent="0.25">
      <c r="J610" s="436"/>
      <c r="K610" s="436"/>
    </row>
    <row r="611" spans="10:11" x14ac:dyDescent="0.25">
      <c r="J611" s="436"/>
      <c r="K611" s="436"/>
    </row>
    <row r="612" spans="10:11" x14ac:dyDescent="0.25">
      <c r="J612" s="436"/>
      <c r="K612" s="436"/>
    </row>
    <row r="613" spans="10:11" x14ac:dyDescent="0.25">
      <c r="J613" s="436"/>
      <c r="K613" s="436"/>
    </row>
    <row r="614" spans="10:11" x14ac:dyDescent="0.25">
      <c r="J614" s="436"/>
      <c r="K614" s="436"/>
    </row>
    <row r="615" spans="10:11" x14ac:dyDescent="0.25">
      <c r="J615" s="436"/>
      <c r="K615" s="436"/>
    </row>
    <row r="616" spans="10:11" x14ac:dyDescent="0.25">
      <c r="J616" s="436"/>
      <c r="K616" s="436"/>
    </row>
    <row r="617" spans="10:11" x14ac:dyDescent="0.25">
      <c r="J617" s="436"/>
      <c r="K617" s="436"/>
    </row>
    <row r="618" spans="10:11" x14ac:dyDescent="0.25">
      <c r="J618" s="436"/>
      <c r="K618" s="436"/>
    </row>
    <row r="619" spans="10:11" x14ac:dyDescent="0.25">
      <c r="J619" s="436"/>
      <c r="K619" s="436"/>
    </row>
    <row r="620" spans="10:11" x14ac:dyDescent="0.25">
      <c r="J620" s="436"/>
      <c r="K620" s="436"/>
    </row>
    <row r="621" spans="10:11" x14ac:dyDescent="0.25">
      <c r="J621" s="436"/>
      <c r="K621" s="436"/>
    </row>
    <row r="622" spans="10:11" x14ac:dyDescent="0.25">
      <c r="J622" s="436"/>
      <c r="K622" s="436"/>
    </row>
    <row r="623" spans="10:11" x14ac:dyDescent="0.25">
      <c r="J623" s="436"/>
      <c r="K623" s="436"/>
    </row>
    <row r="624" spans="10:11" x14ac:dyDescent="0.25">
      <c r="J624" s="436"/>
      <c r="K624" s="436"/>
    </row>
    <row r="625" spans="10:11" x14ac:dyDescent="0.25">
      <c r="J625" s="436"/>
      <c r="K625" s="436"/>
    </row>
    <row r="626" spans="10:11" x14ac:dyDescent="0.25">
      <c r="J626" s="436"/>
      <c r="K626" s="436"/>
    </row>
    <row r="627" spans="10:11" x14ac:dyDescent="0.25">
      <c r="J627" s="436"/>
      <c r="K627" s="436"/>
    </row>
    <row r="628" spans="10:11" x14ac:dyDescent="0.25">
      <c r="J628" s="436"/>
      <c r="K628" s="436"/>
    </row>
    <row r="629" spans="10:11" x14ac:dyDescent="0.25">
      <c r="J629" s="436"/>
      <c r="K629" s="436"/>
    </row>
    <row r="630" spans="10:11" x14ac:dyDescent="0.25">
      <c r="J630" s="436"/>
      <c r="K630" s="436"/>
    </row>
    <row r="631" spans="10:11" x14ac:dyDescent="0.25">
      <c r="J631" s="436"/>
      <c r="K631" s="436"/>
    </row>
    <row r="632" spans="10:11" x14ac:dyDescent="0.25">
      <c r="J632" s="436"/>
      <c r="K632" s="436"/>
    </row>
    <row r="633" spans="10:11" x14ac:dyDescent="0.25">
      <c r="J633" s="436"/>
      <c r="K633" s="436"/>
    </row>
    <row r="634" spans="10:11" x14ac:dyDescent="0.25">
      <c r="J634" s="436"/>
      <c r="K634" s="436"/>
    </row>
    <row r="635" spans="10:11" x14ac:dyDescent="0.25">
      <c r="J635" s="436"/>
      <c r="K635" s="436"/>
    </row>
    <row r="636" spans="10:11" x14ac:dyDescent="0.25">
      <c r="J636" s="436"/>
      <c r="K636" s="436"/>
    </row>
    <row r="637" spans="10:11" x14ac:dyDescent="0.25">
      <c r="J637" s="436"/>
      <c r="K637" s="436"/>
    </row>
    <row r="638" spans="10:11" x14ac:dyDescent="0.25">
      <c r="J638" s="436"/>
      <c r="K638" s="436"/>
    </row>
    <row r="639" spans="10:11" x14ac:dyDescent="0.25">
      <c r="J639" s="436"/>
      <c r="K639" s="436"/>
    </row>
    <row r="640" spans="10:11" x14ac:dyDescent="0.25">
      <c r="J640" s="436"/>
      <c r="K640" s="436"/>
    </row>
    <row r="641" spans="10:11" x14ac:dyDescent="0.25">
      <c r="J641" s="436"/>
      <c r="K641" s="436"/>
    </row>
    <row r="642" spans="10:11" x14ac:dyDescent="0.25">
      <c r="J642" s="436"/>
      <c r="K642" s="436"/>
    </row>
    <row r="643" spans="10:11" x14ac:dyDescent="0.25">
      <c r="J643" s="436"/>
      <c r="K643" s="436"/>
    </row>
    <row r="644" spans="10:11" x14ac:dyDescent="0.25">
      <c r="J644" s="436"/>
      <c r="K644" s="436"/>
    </row>
    <row r="645" spans="10:11" x14ac:dyDescent="0.25">
      <c r="J645" s="436"/>
      <c r="K645" s="436"/>
    </row>
    <row r="646" spans="10:11" x14ac:dyDescent="0.25">
      <c r="J646" s="436"/>
      <c r="K646" s="436"/>
    </row>
    <row r="647" spans="10:11" x14ac:dyDescent="0.25">
      <c r="J647" s="436"/>
      <c r="K647" s="436"/>
    </row>
    <row r="648" spans="10:11" x14ac:dyDescent="0.25">
      <c r="J648" s="436"/>
      <c r="K648" s="436"/>
    </row>
    <row r="649" spans="10:11" x14ac:dyDescent="0.25">
      <c r="J649" s="436"/>
      <c r="K649" s="436"/>
    </row>
    <row r="650" spans="10:11" x14ac:dyDescent="0.25">
      <c r="J650" s="436"/>
      <c r="K650" s="436"/>
    </row>
    <row r="651" spans="10:11" x14ac:dyDescent="0.25">
      <c r="J651" s="436"/>
      <c r="K651" s="436"/>
    </row>
    <row r="652" spans="10:11" x14ac:dyDescent="0.25">
      <c r="J652" s="436"/>
      <c r="K652" s="436"/>
    </row>
    <row r="653" spans="10:11" x14ac:dyDescent="0.25">
      <c r="J653" s="436"/>
      <c r="K653" s="436"/>
    </row>
    <row r="654" spans="10:11" x14ac:dyDescent="0.25">
      <c r="J654" s="436"/>
      <c r="K654" s="436"/>
    </row>
    <row r="655" spans="10:11" x14ac:dyDescent="0.25">
      <c r="J655" s="436"/>
      <c r="K655" s="436"/>
    </row>
    <row r="656" spans="10:11" x14ac:dyDescent="0.25">
      <c r="J656" s="436"/>
      <c r="K656" s="436"/>
    </row>
    <row r="657" spans="10:11" x14ac:dyDescent="0.25">
      <c r="J657" s="436"/>
      <c r="K657" s="436"/>
    </row>
    <row r="658" spans="10:11" x14ac:dyDescent="0.25">
      <c r="J658" s="436"/>
      <c r="K658" s="436"/>
    </row>
    <row r="659" spans="10:11" x14ac:dyDescent="0.25">
      <c r="J659" s="436"/>
      <c r="K659" s="436"/>
    </row>
    <row r="660" spans="10:11" x14ac:dyDescent="0.25">
      <c r="J660" s="436"/>
      <c r="K660" s="436"/>
    </row>
    <row r="661" spans="10:11" x14ac:dyDescent="0.25">
      <c r="J661" s="436"/>
      <c r="K661" s="436"/>
    </row>
    <row r="662" spans="10:11" x14ac:dyDescent="0.25">
      <c r="J662" s="436"/>
      <c r="K662" s="436"/>
    </row>
    <row r="663" spans="10:11" x14ac:dyDescent="0.25">
      <c r="J663" s="436"/>
      <c r="K663" s="436"/>
    </row>
    <row r="664" spans="10:11" x14ac:dyDescent="0.25">
      <c r="J664" s="436"/>
      <c r="K664" s="436"/>
    </row>
    <row r="665" spans="10:11" x14ac:dyDescent="0.25">
      <c r="J665" s="436"/>
      <c r="K665" s="436"/>
    </row>
    <row r="666" spans="10:11" x14ac:dyDescent="0.25">
      <c r="J666" s="436"/>
      <c r="K666" s="436"/>
    </row>
    <row r="667" spans="10:11" x14ac:dyDescent="0.25">
      <c r="J667" s="436"/>
      <c r="K667" s="436"/>
    </row>
    <row r="668" spans="10:11" x14ac:dyDescent="0.25">
      <c r="J668" s="436"/>
      <c r="K668" s="436"/>
    </row>
    <row r="669" spans="10:11" x14ac:dyDescent="0.25">
      <c r="J669" s="436"/>
      <c r="K669" s="436"/>
    </row>
    <row r="670" spans="10:11" x14ac:dyDescent="0.25">
      <c r="J670" s="436"/>
      <c r="K670" s="436"/>
    </row>
    <row r="671" spans="10:11" x14ac:dyDescent="0.25">
      <c r="J671" s="436"/>
      <c r="K671" s="436"/>
    </row>
    <row r="672" spans="10:11" x14ac:dyDescent="0.25">
      <c r="J672" s="436"/>
      <c r="K672" s="436"/>
    </row>
    <row r="673" spans="10:11" x14ac:dyDescent="0.25">
      <c r="J673" s="436"/>
      <c r="K673" s="436"/>
    </row>
    <row r="674" spans="10:11" x14ac:dyDescent="0.25">
      <c r="J674" s="436"/>
      <c r="K674" s="436"/>
    </row>
    <row r="675" spans="10:11" x14ac:dyDescent="0.25">
      <c r="J675" s="436"/>
      <c r="K675" s="436"/>
    </row>
    <row r="676" spans="10:11" x14ac:dyDescent="0.25">
      <c r="J676" s="436"/>
      <c r="K676" s="436"/>
    </row>
    <row r="677" spans="10:11" x14ac:dyDescent="0.25">
      <c r="J677" s="436"/>
      <c r="K677" s="436"/>
    </row>
    <row r="678" spans="10:11" x14ac:dyDescent="0.25">
      <c r="J678" s="436"/>
      <c r="K678" s="436"/>
    </row>
    <row r="679" spans="10:11" x14ac:dyDescent="0.25">
      <c r="J679" s="436"/>
      <c r="K679" s="436"/>
    </row>
    <row r="680" spans="10:11" x14ac:dyDescent="0.25">
      <c r="J680" s="436"/>
      <c r="K680" s="436"/>
    </row>
    <row r="681" spans="10:11" x14ac:dyDescent="0.25">
      <c r="J681" s="436"/>
      <c r="K681" s="436"/>
    </row>
    <row r="682" spans="10:11" x14ac:dyDescent="0.25">
      <c r="J682" s="436"/>
      <c r="K682" s="436"/>
    </row>
    <row r="683" spans="10:11" x14ac:dyDescent="0.25">
      <c r="J683" s="436"/>
      <c r="K683" s="436"/>
    </row>
    <row r="684" spans="10:11" x14ac:dyDescent="0.25">
      <c r="J684" s="436"/>
      <c r="K684" s="436"/>
    </row>
    <row r="685" spans="10:11" x14ac:dyDescent="0.25">
      <c r="J685" s="436"/>
      <c r="K685" s="436"/>
    </row>
    <row r="686" spans="10:11" x14ac:dyDescent="0.25">
      <c r="J686" s="436"/>
      <c r="K686" s="436"/>
    </row>
    <row r="687" spans="10:11" x14ac:dyDescent="0.25">
      <c r="J687" s="436"/>
      <c r="K687" s="436"/>
    </row>
    <row r="688" spans="10:11" x14ac:dyDescent="0.25">
      <c r="J688" s="436"/>
      <c r="K688" s="436"/>
    </row>
    <row r="689" spans="10:11" x14ac:dyDescent="0.25">
      <c r="J689" s="436"/>
      <c r="K689" s="436"/>
    </row>
    <row r="690" spans="10:11" x14ac:dyDescent="0.25">
      <c r="J690" s="436"/>
      <c r="K690" s="436"/>
    </row>
    <row r="691" spans="10:11" x14ac:dyDescent="0.25">
      <c r="J691" s="436"/>
      <c r="K691" s="436"/>
    </row>
    <row r="692" spans="10:11" x14ac:dyDescent="0.25">
      <c r="J692" s="436"/>
      <c r="K692" s="436"/>
    </row>
    <row r="693" spans="10:11" x14ac:dyDescent="0.25">
      <c r="J693" s="436"/>
      <c r="K693" s="436"/>
    </row>
    <row r="694" spans="10:11" x14ac:dyDescent="0.25">
      <c r="J694" s="436"/>
      <c r="K694" s="436"/>
    </row>
    <row r="695" spans="10:11" x14ac:dyDescent="0.25">
      <c r="J695" s="436"/>
      <c r="K695" s="436"/>
    </row>
    <row r="696" spans="10:11" x14ac:dyDescent="0.25">
      <c r="J696" s="436"/>
      <c r="K696" s="436"/>
    </row>
    <row r="697" spans="10:11" x14ac:dyDescent="0.25">
      <c r="J697" s="436"/>
      <c r="K697" s="436"/>
    </row>
    <row r="698" spans="10:11" x14ac:dyDescent="0.25">
      <c r="J698" s="436"/>
      <c r="K698" s="436"/>
    </row>
    <row r="699" spans="10:11" x14ac:dyDescent="0.25">
      <c r="J699" s="436"/>
      <c r="K699" s="436"/>
    </row>
    <row r="700" spans="10:11" x14ac:dyDescent="0.25">
      <c r="J700" s="436"/>
      <c r="K700" s="436"/>
    </row>
    <row r="701" spans="10:11" x14ac:dyDescent="0.25">
      <c r="J701" s="436"/>
      <c r="K701" s="436"/>
    </row>
    <row r="702" spans="10:11" x14ac:dyDescent="0.25">
      <c r="J702" s="436"/>
      <c r="K702" s="436"/>
    </row>
    <row r="703" spans="10:11" x14ac:dyDescent="0.25">
      <c r="J703" s="436"/>
      <c r="K703" s="436"/>
    </row>
    <row r="704" spans="10:11" x14ac:dyDescent="0.25">
      <c r="J704" s="436"/>
      <c r="K704" s="436"/>
    </row>
    <row r="705" spans="10:11" x14ac:dyDescent="0.25">
      <c r="J705" s="436"/>
      <c r="K705" s="436"/>
    </row>
    <row r="706" spans="10:11" x14ac:dyDescent="0.25">
      <c r="J706" s="436"/>
      <c r="K706" s="436"/>
    </row>
    <row r="707" spans="10:11" x14ac:dyDescent="0.25">
      <c r="J707" s="436"/>
      <c r="K707" s="436"/>
    </row>
    <row r="708" spans="10:11" x14ac:dyDescent="0.25">
      <c r="J708" s="436"/>
      <c r="K708" s="436"/>
    </row>
    <row r="709" spans="10:11" x14ac:dyDescent="0.25">
      <c r="J709" s="436"/>
      <c r="K709" s="436"/>
    </row>
    <row r="710" spans="10:11" x14ac:dyDescent="0.25">
      <c r="J710" s="436"/>
      <c r="K710" s="436"/>
    </row>
    <row r="711" spans="10:11" x14ac:dyDescent="0.25">
      <c r="J711" s="436"/>
      <c r="K711" s="436"/>
    </row>
    <row r="712" spans="10:11" x14ac:dyDescent="0.25">
      <c r="J712" s="436"/>
      <c r="K712" s="436"/>
    </row>
    <row r="713" spans="10:11" x14ac:dyDescent="0.25">
      <c r="J713" s="436"/>
      <c r="K713" s="436"/>
    </row>
    <row r="714" spans="10:11" x14ac:dyDescent="0.25">
      <c r="J714" s="436"/>
      <c r="K714" s="436"/>
    </row>
    <row r="715" spans="10:11" x14ac:dyDescent="0.25">
      <c r="J715" s="436"/>
      <c r="K715" s="436"/>
    </row>
    <row r="716" spans="10:11" x14ac:dyDescent="0.25">
      <c r="J716" s="436"/>
      <c r="K716" s="436"/>
    </row>
    <row r="717" spans="10:11" x14ac:dyDescent="0.25">
      <c r="J717" s="436"/>
      <c r="K717" s="436"/>
    </row>
    <row r="718" spans="10:11" x14ac:dyDescent="0.25">
      <c r="J718" s="436"/>
      <c r="K718" s="436"/>
    </row>
    <row r="719" spans="10:11" x14ac:dyDescent="0.25">
      <c r="J719" s="436"/>
      <c r="K719" s="436"/>
    </row>
    <row r="720" spans="10:11" x14ac:dyDescent="0.25">
      <c r="J720" s="436"/>
      <c r="K720" s="436"/>
    </row>
    <row r="721" spans="10:11" x14ac:dyDescent="0.25">
      <c r="J721" s="436"/>
      <c r="K721" s="436"/>
    </row>
    <row r="722" spans="10:11" x14ac:dyDescent="0.25">
      <c r="J722" s="436"/>
      <c r="K722" s="436"/>
    </row>
    <row r="723" spans="10:11" x14ac:dyDescent="0.25">
      <c r="J723" s="436"/>
      <c r="K723" s="436"/>
    </row>
    <row r="724" spans="10:11" x14ac:dyDescent="0.25">
      <c r="J724" s="436"/>
      <c r="K724" s="436"/>
    </row>
    <row r="725" spans="10:11" x14ac:dyDescent="0.25">
      <c r="J725" s="436"/>
      <c r="K725" s="436"/>
    </row>
    <row r="726" spans="10:11" x14ac:dyDescent="0.25">
      <c r="J726" s="436"/>
      <c r="K726" s="436"/>
    </row>
    <row r="727" spans="10:11" x14ac:dyDescent="0.25">
      <c r="J727" s="436"/>
      <c r="K727" s="436"/>
    </row>
    <row r="728" spans="10:11" x14ac:dyDescent="0.25">
      <c r="J728" s="436"/>
      <c r="K728" s="436"/>
    </row>
    <row r="729" spans="10:11" x14ac:dyDescent="0.25">
      <c r="J729" s="436"/>
      <c r="K729" s="436"/>
    </row>
    <row r="730" spans="10:11" x14ac:dyDescent="0.25">
      <c r="J730" s="436"/>
      <c r="K730" s="436"/>
    </row>
    <row r="731" spans="10:11" x14ac:dyDescent="0.25">
      <c r="J731" s="436"/>
      <c r="K731" s="436"/>
    </row>
    <row r="732" spans="10:11" x14ac:dyDescent="0.25">
      <c r="J732" s="436"/>
      <c r="K732" s="436"/>
    </row>
    <row r="733" spans="10:11" x14ac:dyDescent="0.25">
      <c r="J733" s="436"/>
      <c r="K733" s="436"/>
    </row>
    <row r="734" spans="10:11" x14ac:dyDescent="0.25">
      <c r="J734" s="436"/>
      <c r="K734" s="436"/>
    </row>
    <row r="735" spans="10:11" x14ac:dyDescent="0.25">
      <c r="J735" s="436"/>
      <c r="K735" s="436"/>
    </row>
    <row r="736" spans="10:11" x14ac:dyDescent="0.25">
      <c r="J736" s="436"/>
      <c r="K736" s="436"/>
    </row>
    <row r="737" spans="10:11" x14ac:dyDescent="0.25">
      <c r="J737" s="436"/>
      <c r="K737" s="436"/>
    </row>
    <row r="738" spans="10:11" x14ac:dyDescent="0.25">
      <c r="J738" s="436"/>
      <c r="K738" s="436"/>
    </row>
    <row r="739" spans="10:11" x14ac:dyDescent="0.25">
      <c r="J739" s="436"/>
      <c r="K739" s="436"/>
    </row>
    <row r="740" spans="10:11" x14ac:dyDescent="0.25">
      <c r="J740" s="436"/>
      <c r="K740" s="436"/>
    </row>
    <row r="741" spans="10:11" x14ac:dyDescent="0.25">
      <c r="J741" s="436"/>
      <c r="K741" s="436"/>
    </row>
    <row r="742" spans="10:11" x14ac:dyDescent="0.25">
      <c r="J742" s="436"/>
      <c r="K742" s="436"/>
    </row>
    <row r="743" spans="10:11" x14ac:dyDescent="0.25">
      <c r="J743" s="436"/>
      <c r="K743" s="436"/>
    </row>
    <row r="744" spans="10:11" x14ac:dyDescent="0.25">
      <c r="J744" s="436"/>
      <c r="K744" s="436"/>
    </row>
    <row r="745" spans="10:11" x14ac:dyDescent="0.25">
      <c r="J745" s="436"/>
      <c r="K745" s="436"/>
    </row>
    <row r="746" spans="10:11" x14ac:dyDescent="0.25">
      <c r="J746" s="436"/>
      <c r="K746" s="436"/>
    </row>
    <row r="747" spans="10:11" x14ac:dyDescent="0.25">
      <c r="J747" s="436"/>
      <c r="K747" s="436"/>
    </row>
    <row r="748" spans="10:11" x14ac:dyDescent="0.25">
      <c r="J748" s="436"/>
      <c r="K748" s="436"/>
    </row>
    <row r="749" spans="10:11" x14ac:dyDescent="0.25">
      <c r="J749" s="436"/>
      <c r="K749" s="436"/>
    </row>
    <row r="750" spans="10:11" x14ac:dyDescent="0.25">
      <c r="J750" s="436"/>
      <c r="K750" s="436"/>
    </row>
    <row r="751" spans="10:11" x14ac:dyDescent="0.25">
      <c r="J751" s="436"/>
      <c r="K751" s="436"/>
    </row>
    <row r="752" spans="10:11" x14ac:dyDescent="0.25">
      <c r="J752" s="436"/>
      <c r="K752" s="436"/>
    </row>
    <row r="753" spans="10:11" x14ac:dyDescent="0.25">
      <c r="J753" s="436"/>
      <c r="K753" s="436"/>
    </row>
    <row r="754" spans="10:11" x14ac:dyDescent="0.25">
      <c r="J754" s="436"/>
      <c r="K754" s="436"/>
    </row>
    <row r="755" spans="10:11" x14ac:dyDescent="0.25">
      <c r="J755" s="436"/>
      <c r="K755" s="436"/>
    </row>
    <row r="756" spans="10:11" x14ac:dyDescent="0.25">
      <c r="J756" s="436"/>
      <c r="K756" s="436"/>
    </row>
    <row r="757" spans="10:11" x14ac:dyDescent="0.25">
      <c r="J757" s="436"/>
      <c r="K757" s="436"/>
    </row>
    <row r="758" spans="10:11" x14ac:dyDescent="0.25">
      <c r="J758" s="436"/>
      <c r="K758" s="436"/>
    </row>
    <row r="759" spans="10:11" x14ac:dyDescent="0.25">
      <c r="J759" s="436"/>
      <c r="K759" s="436"/>
    </row>
    <row r="760" spans="10:11" x14ac:dyDescent="0.25">
      <c r="J760" s="436"/>
      <c r="K760" s="436"/>
    </row>
    <row r="761" spans="10:11" x14ac:dyDescent="0.25">
      <c r="J761" s="436"/>
      <c r="K761" s="436"/>
    </row>
    <row r="762" spans="10:11" x14ac:dyDescent="0.25">
      <c r="J762" s="436"/>
      <c r="K762" s="436"/>
    </row>
    <row r="763" spans="10:11" x14ac:dyDescent="0.25">
      <c r="J763" s="436"/>
      <c r="K763" s="436"/>
    </row>
    <row r="764" spans="10:11" x14ac:dyDescent="0.25">
      <c r="J764" s="436"/>
      <c r="K764" s="436"/>
    </row>
    <row r="765" spans="10:11" x14ac:dyDescent="0.25">
      <c r="J765" s="436"/>
      <c r="K765" s="436"/>
    </row>
    <row r="766" spans="10:11" x14ac:dyDescent="0.25">
      <c r="J766" s="436"/>
      <c r="K766" s="436"/>
    </row>
    <row r="767" spans="10:11" x14ac:dyDescent="0.25">
      <c r="J767" s="436"/>
      <c r="K767" s="436"/>
    </row>
    <row r="768" spans="10:11" x14ac:dyDescent="0.25">
      <c r="J768" s="436"/>
      <c r="K768" s="436"/>
    </row>
    <row r="769" spans="10:11" x14ac:dyDescent="0.25">
      <c r="J769" s="436"/>
      <c r="K769" s="436"/>
    </row>
    <row r="770" spans="10:11" x14ac:dyDescent="0.25">
      <c r="J770" s="436"/>
      <c r="K770" s="436"/>
    </row>
    <row r="771" spans="10:11" x14ac:dyDescent="0.25">
      <c r="J771" s="436"/>
      <c r="K771" s="436"/>
    </row>
    <row r="772" spans="10:11" x14ac:dyDescent="0.25">
      <c r="J772" s="436"/>
      <c r="K772" s="436"/>
    </row>
    <row r="773" spans="10:11" x14ac:dyDescent="0.25">
      <c r="J773" s="436"/>
      <c r="K773" s="436"/>
    </row>
    <row r="774" spans="10:11" x14ac:dyDescent="0.25">
      <c r="J774" s="436"/>
      <c r="K774" s="436"/>
    </row>
    <row r="775" spans="10:11" x14ac:dyDescent="0.25">
      <c r="J775" s="436"/>
      <c r="K775" s="436"/>
    </row>
    <row r="776" spans="10:11" x14ac:dyDescent="0.25">
      <c r="J776" s="436"/>
      <c r="K776" s="436"/>
    </row>
    <row r="777" spans="10:11" x14ac:dyDescent="0.25">
      <c r="J777" s="436"/>
      <c r="K777" s="436"/>
    </row>
    <row r="778" spans="10:11" x14ac:dyDescent="0.25">
      <c r="J778" s="436"/>
      <c r="K778" s="436"/>
    </row>
    <row r="779" spans="10:11" x14ac:dyDescent="0.25">
      <c r="J779" s="436"/>
      <c r="K779" s="436"/>
    </row>
    <row r="780" spans="10:11" x14ac:dyDescent="0.25">
      <c r="J780" s="436"/>
      <c r="K780" s="436"/>
    </row>
    <row r="781" spans="10:11" x14ac:dyDescent="0.25">
      <c r="J781" s="436"/>
      <c r="K781" s="436"/>
    </row>
    <row r="782" spans="10:11" x14ac:dyDescent="0.25">
      <c r="J782" s="436"/>
      <c r="K782" s="436"/>
    </row>
    <row r="783" spans="10:11" x14ac:dyDescent="0.25">
      <c r="J783" s="436"/>
      <c r="K783" s="436"/>
    </row>
    <row r="784" spans="10:11" x14ac:dyDescent="0.25">
      <c r="J784" s="436"/>
      <c r="K784" s="436"/>
    </row>
    <row r="785" spans="10:11" x14ac:dyDescent="0.25">
      <c r="J785" s="436"/>
      <c r="K785" s="436"/>
    </row>
    <row r="786" spans="10:11" x14ac:dyDescent="0.25">
      <c r="J786" s="436"/>
      <c r="K786" s="436"/>
    </row>
    <row r="787" spans="10:11" x14ac:dyDescent="0.25">
      <c r="J787" s="436"/>
      <c r="K787" s="436"/>
    </row>
    <row r="788" spans="10:11" x14ac:dyDescent="0.25">
      <c r="J788" s="436"/>
      <c r="K788" s="436"/>
    </row>
    <row r="789" spans="10:11" x14ac:dyDescent="0.25">
      <c r="J789" s="436"/>
      <c r="K789" s="436"/>
    </row>
    <row r="790" spans="10:11" x14ac:dyDescent="0.25">
      <c r="J790" s="436"/>
      <c r="K790" s="436"/>
    </row>
    <row r="791" spans="10:11" x14ac:dyDescent="0.25">
      <c r="J791" s="436"/>
      <c r="K791" s="436"/>
    </row>
    <row r="792" spans="10:11" x14ac:dyDescent="0.25">
      <c r="J792" s="436"/>
      <c r="K792" s="436"/>
    </row>
    <row r="793" spans="10:11" x14ac:dyDescent="0.25">
      <c r="J793" s="436"/>
      <c r="K793" s="436"/>
    </row>
    <row r="794" spans="10:11" x14ac:dyDescent="0.25">
      <c r="J794" s="436"/>
      <c r="K794" s="436"/>
    </row>
    <row r="795" spans="10:11" x14ac:dyDescent="0.25">
      <c r="J795" s="436"/>
      <c r="K795" s="436"/>
    </row>
    <row r="796" spans="10:11" x14ac:dyDescent="0.25">
      <c r="J796" s="436"/>
      <c r="K796" s="436"/>
    </row>
    <row r="797" spans="10:11" x14ac:dyDescent="0.25">
      <c r="J797" s="436"/>
      <c r="K797" s="436"/>
    </row>
    <row r="798" spans="10:11" x14ac:dyDescent="0.25">
      <c r="J798" s="436"/>
      <c r="K798" s="436"/>
    </row>
    <row r="799" spans="10:11" x14ac:dyDescent="0.25">
      <c r="J799" s="436"/>
      <c r="K799" s="436"/>
    </row>
    <row r="800" spans="10:11" x14ac:dyDescent="0.25">
      <c r="J800" s="436"/>
      <c r="K800" s="436"/>
    </row>
    <row r="801" spans="10:11" x14ac:dyDescent="0.25">
      <c r="J801" s="436"/>
      <c r="K801" s="436"/>
    </row>
    <row r="802" spans="10:11" x14ac:dyDescent="0.25">
      <c r="J802" s="436"/>
      <c r="K802" s="436"/>
    </row>
    <row r="803" spans="10:11" x14ac:dyDescent="0.25">
      <c r="J803" s="436"/>
      <c r="K803" s="436"/>
    </row>
    <row r="804" spans="10:11" x14ac:dyDescent="0.25">
      <c r="J804" s="436"/>
      <c r="K804" s="436"/>
    </row>
    <row r="805" spans="10:11" x14ac:dyDescent="0.25">
      <c r="J805" s="436"/>
      <c r="K805" s="436"/>
    </row>
    <row r="806" spans="10:11" x14ac:dyDescent="0.25">
      <c r="J806" s="436"/>
      <c r="K806" s="436"/>
    </row>
    <row r="807" spans="10:11" x14ac:dyDescent="0.25">
      <c r="J807" s="436"/>
      <c r="K807" s="436"/>
    </row>
    <row r="808" spans="10:11" x14ac:dyDescent="0.25">
      <c r="J808" s="436"/>
      <c r="K808" s="436"/>
    </row>
    <row r="809" spans="10:11" x14ac:dyDescent="0.25">
      <c r="J809" s="436"/>
      <c r="K809" s="436"/>
    </row>
    <row r="810" spans="10:11" x14ac:dyDescent="0.25">
      <c r="J810" s="436"/>
      <c r="K810" s="436"/>
    </row>
    <row r="811" spans="10:11" x14ac:dyDescent="0.25">
      <c r="J811" s="436"/>
      <c r="K811" s="436"/>
    </row>
    <row r="812" spans="10:11" x14ac:dyDescent="0.25">
      <c r="J812" s="436"/>
      <c r="K812" s="436"/>
    </row>
    <row r="813" spans="10:11" x14ac:dyDescent="0.25">
      <c r="J813" s="436"/>
      <c r="K813" s="436"/>
    </row>
    <row r="814" spans="10:11" x14ac:dyDescent="0.25">
      <c r="J814" s="436"/>
      <c r="K814" s="436"/>
    </row>
    <row r="815" spans="10:11" x14ac:dyDescent="0.25">
      <c r="J815" s="436"/>
      <c r="K815" s="436"/>
    </row>
    <row r="816" spans="10:11" x14ac:dyDescent="0.25">
      <c r="J816" s="436"/>
      <c r="K816" s="436"/>
    </row>
    <row r="817" spans="10:11" x14ac:dyDescent="0.25">
      <c r="J817" s="436"/>
      <c r="K817" s="436"/>
    </row>
    <row r="818" spans="10:11" x14ac:dyDescent="0.25">
      <c r="J818" s="436"/>
      <c r="K818" s="436"/>
    </row>
    <row r="819" spans="10:11" x14ac:dyDescent="0.25">
      <c r="J819" s="436"/>
      <c r="K819" s="436"/>
    </row>
    <row r="820" spans="10:11" x14ac:dyDescent="0.25">
      <c r="J820" s="436"/>
      <c r="K820" s="436"/>
    </row>
    <row r="821" spans="10:11" x14ac:dyDescent="0.25">
      <c r="J821" s="436"/>
      <c r="K821" s="436"/>
    </row>
    <row r="822" spans="10:11" x14ac:dyDescent="0.25">
      <c r="J822" s="436"/>
      <c r="K822" s="436"/>
    </row>
    <row r="823" spans="10:11" x14ac:dyDescent="0.25">
      <c r="J823" s="436"/>
      <c r="K823" s="436"/>
    </row>
    <row r="824" spans="10:11" x14ac:dyDescent="0.25">
      <c r="J824" s="436"/>
      <c r="K824" s="436"/>
    </row>
    <row r="825" spans="10:11" x14ac:dyDescent="0.25">
      <c r="J825" s="436"/>
      <c r="K825" s="436"/>
    </row>
    <row r="826" spans="10:11" x14ac:dyDescent="0.25">
      <c r="J826" s="436"/>
      <c r="K826" s="436"/>
    </row>
    <row r="827" spans="10:11" x14ac:dyDescent="0.25">
      <c r="J827" s="436"/>
      <c r="K827" s="436"/>
    </row>
    <row r="828" spans="10:11" x14ac:dyDescent="0.25">
      <c r="J828" s="436"/>
      <c r="K828" s="436"/>
    </row>
    <row r="829" spans="10:11" x14ac:dyDescent="0.25">
      <c r="J829" s="436"/>
      <c r="K829" s="436"/>
    </row>
    <row r="830" spans="10:11" x14ac:dyDescent="0.25">
      <c r="J830" s="436"/>
      <c r="K830" s="436"/>
    </row>
    <row r="831" spans="10:11" x14ac:dyDescent="0.25">
      <c r="J831" s="436"/>
      <c r="K831" s="436"/>
    </row>
    <row r="832" spans="10:11" x14ac:dyDescent="0.25">
      <c r="J832" s="436"/>
      <c r="K832" s="436"/>
    </row>
    <row r="833" spans="10:11" x14ac:dyDescent="0.25">
      <c r="J833" s="436"/>
      <c r="K833" s="436"/>
    </row>
    <row r="834" spans="10:11" x14ac:dyDescent="0.25">
      <c r="J834" s="436"/>
      <c r="K834" s="436"/>
    </row>
    <row r="835" spans="10:11" x14ac:dyDescent="0.25">
      <c r="J835" s="436"/>
      <c r="K835" s="436"/>
    </row>
    <row r="836" spans="10:11" x14ac:dyDescent="0.25">
      <c r="J836" s="436"/>
      <c r="K836" s="436"/>
    </row>
    <row r="837" spans="10:11" x14ac:dyDescent="0.25">
      <c r="J837" s="436"/>
      <c r="K837" s="436"/>
    </row>
    <row r="838" spans="10:11" x14ac:dyDescent="0.25">
      <c r="J838" s="436"/>
      <c r="K838" s="436"/>
    </row>
    <row r="839" spans="10:11" x14ac:dyDescent="0.25">
      <c r="J839" s="436"/>
      <c r="K839" s="436"/>
    </row>
    <row r="840" spans="10:11" x14ac:dyDescent="0.25">
      <c r="J840" s="436"/>
      <c r="K840" s="436"/>
    </row>
    <row r="841" spans="10:11" x14ac:dyDescent="0.25">
      <c r="J841" s="436"/>
      <c r="K841" s="436"/>
    </row>
    <row r="842" spans="10:11" x14ac:dyDescent="0.25">
      <c r="J842" s="436"/>
      <c r="K842" s="436"/>
    </row>
    <row r="843" spans="10:11" x14ac:dyDescent="0.25">
      <c r="J843" s="436"/>
      <c r="K843" s="436"/>
    </row>
    <row r="844" spans="10:11" x14ac:dyDescent="0.25">
      <c r="J844" s="436"/>
      <c r="K844" s="436"/>
    </row>
    <row r="845" spans="10:11" x14ac:dyDescent="0.25">
      <c r="J845" s="436"/>
      <c r="K845" s="436"/>
    </row>
    <row r="846" spans="10:11" x14ac:dyDescent="0.25">
      <c r="J846" s="436"/>
      <c r="K846" s="436"/>
    </row>
    <row r="847" spans="10:11" x14ac:dyDescent="0.25">
      <c r="J847" s="436"/>
      <c r="K847" s="436"/>
    </row>
    <row r="848" spans="10:11" x14ac:dyDescent="0.25">
      <c r="J848" s="436"/>
      <c r="K848" s="436"/>
    </row>
    <row r="849" spans="10:11" x14ac:dyDescent="0.25">
      <c r="J849" s="436"/>
      <c r="K849" s="436"/>
    </row>
    <row r="850" spans="10:11" x14ac:dyDescent="0.25">
      <c r="J850" s="436"/>
      <c r="K850" s="436"/>
    </row>
    <row r="851" spans="10:11" x14ac:dyDescent="0.25">
      <c r="J851" s="436"/>
      <c r="K851" s="436"/>
    </row>
    <row r="852" spans="10:11" x14ac:dyDescent="0.25">
      <c r="J852" s="436"/>
      <c r="K852" s="436"/>
    </row>
    <row r="853" spans="10:11" x14ac:dyDescent="0.25">
      <c r="J853" s="436"/>
      <c r="K853" s="436"/>
    </row>
    <row r="854" spans="10:11" x14ac:dyDescent="0.25">
      <c r="J854" s="436"/>
      <c r="K854" s="436"/>
    </row>
    <row r="855" spans="10:11" x14ac:dyDescent="0.25">
      <c r="J855" s="436"/>
      <c r="K855" s="436"/>
    </row>
    <row r="856" spans="10:11" x14ac:dyDescent="0.25">
      <c r="J856" s="436"/>
      <c r="K856" s="436"/>
    </row>
    <row r="857" spans="10:11" x14ac:dyDescent="0.25">
      <c r="J857" s="436"/>
      <c r="K857" s="436"/>
    </row>
    <row r="858" spans="10:11" x14ac:dyDescent="0.25">
      <c r="J858" s="436"/>
      <c r="K858" s="436"/>
    </row>
    <row r="859" spans="10:11" x14ac:dyDescent="0.25">
      <c r="J859" s="436"/>
      <c r="K859" s="436"/>
    </row>
    <row r="860" spans="10:11" x14ac:dyDescent="0.25">
      <c r="J860" s="436"/>
      <c r="K860" s="436"/>
    </row>
    <row r="861" spans="10:11" x14ac:dyDescent="0.25">
      <c r="J861" s="436"/>
      <c r="K861" s="436"/>
    </row>
    <row r="862" spans="10:11" x14ac:dyDescent="0.25">
      <c r="J862" s="436"/>
      <c r="K862" s="436"/>
    </row>
    <row r="863" spans="10:11" x14ac:dyDescent="0.25">
      <c r="J863" s="436"/>
      <c r="K863" s="436"/>
    </row>
    <row r="864" spans="10:11" x14ac:dyDescent="0.25">
      <c r="J864" s="436"/>
      <c r="K864" s="436"/>
    </row>
    <row r="865" spans="10:11" x14ac:dyDescent="0.25">
      <c r="J865" s="436"/>
      <c r="K865" s="436"/>
    </row>
    <row r="866" spans="10:11" x14ac:dyDescent="0.25">
      <c r="J866" s="436"/>
      <c r="K866" s="436"/>
    </row>
    <row r="867" spans="10:11" x14ac:dyDescent="0.25">
      <c r="J867" s="436"/>
      <c r="K867" s="436"/>
    </row>
    <row r="868" spans="10:11" x14ac:dyDescent="0.25">
      <c r="J868" s="436"/>
      <c r="K868" s="436"/>
    </row>
    <row r="869" spans="10:11" x14ac:dyDescent="0.25">
      <c r="J869" s="436"/>
      <c r="K869" s="436"/>
    </row>
    <row r="870" spans="10:11" x14ac:dyDescent="0.25">
      <c r="J870" s="436"/>
      <c r="K870" s="436"/>
    </row>
    <row r="871" spans="10:11" x14ac:dyDescent="0.25">
      <c r="J871" s="436"/>
      <c r="K871" s="436"/>
    </row>
    <row r="872" spans="10:11" x14ac:dyDescent="0.25">
      <c r="J872" s="436"/>
      <c r="K872" s="436"/>
    </row>
    <row r="873" spans="10:11" x14ac:dyDescent="0.25">
      <c r="J873" s="436"/>
      <c r="K873" s="436"/>
    </row>
    <row r="874" spans="10:11" x14ac:dyDescent="0.25">
      <c r="J874" s="436"/>
      <c r="K874" s="436"/>
    </row>
    <row r="875" spans="10:11" x14ac:dyDescent="0.25">
      <c r="J875" s="436"/>
      <c r="K875" s="436"/>
    </row>
    <row r="876" spans="10:11" x14ac:dyDescent="0.25">
      <c r="J876" s="436"/>
      <c r="K876" s="436"/>
    </row>
    <row r="877" spans="10:11" x14ac:dyDescent="0.25">
      <c r="J877" s="436"/>
      <c r="K877" s="436"/>
    </row>
    <row r="878" spans="10:11" x14ac:dyDescent="0.25">
      <c r="J878" s="436"/>
      <c r="K878" s="436"/>
    </row>
    <row r="879" spans="10:11" x14ac:dyDescent="0.25">
      <c r="J879" s="436"/>
      <c r="K879" s="436"/>
    </row>
    <row r="880" spans="10:11" x14ac:dyDescent="0.25">
      <c r="J880" s="436"/>
      <c r="K880" s="436"/>
    </row>
    <row r="881" spans="10:11" x14ac:dyDescent="0.25">
      <c r="J881" s="436"/>
      <c r="K881" s="436"/>
    </row>
    <row r="882" spans="10:11" x14ac:dyDescent="0.25">
      <c r="J882" s="436"/>
      <c r="K882" s="436"/>
    </row>
    <row r="883" spans="10:11" x14ac:dyDescent="0.25">
      <c r="J883" s="436"/>
      <c r="K883" s="436"/>
    </row>
    <row r="884" spans="10:11" x14ac:dyDescent="0.25">
      <c r="J884" s="436"/>
      <c r="K884" s="436"/>
    </row>
    <row r="885" spans="10:11" x14ac:dyDescent="0.25">
      <c r="J885" s="436"/>
      <c r="K885" s="436"/>
    </row>
    <row r="886" spans="10:11" x14ac:dyDescent="0.25">
      <c r="J886" s="436"/>
      <c r="K886" s="436"/>
    </row>
    <row r="887" spans="10:11" x14ac:dyDescent="0.25">
      <c r="J887" s="436"/>
      <c r="K887" s="436"/>
    </row>
    <row r="888" spans="10:11" x14ac:dyDescent="0.25">
      <c r="J888" s="436"/>
      <c r="K888" s="436"/>
    </row>
    <row r="889" spans="10:11" x14ac:dyDescent="0.25">
      <c r="J889" s="436"/>
      <c r="K889" s="436"/>
    </row>
    <row r="890" spans="10:11" x14ac:dyDescent="0.25">
      <c r="J890" s="436"/>
      <c r="K890" s="436"/>
    </row>
    <row r="891" spans="10:11" x14ac:dyDescent="0.25">
      <c r="J891" s="436"/>
      <c r="K891" s="436"/>
    </row>
    <row r="892" spans="10:11" x14ac:dyDescent="0.25">
      <c r="J892" s="436"/>
      <c r="K892" s="436"/>
    </row>
    <row r="893" spans="10:11" x14ac:dyDescent="0.25">
      <c r="J893" s="436"/>
      <c r="K893" s="436"/>
    </row>
    <row r="894" spans="10:11" x14ac:dyDescent="0.25">
      <c r="J894" s="436"/>
      <c r="K894" s="436"/>
    </row>
    <row r="895" spans="10:11" x14ac:dyDescent="0.25">
      <c r="J895" s="436"/>
      <c r="K895" s="436"/>
    </row>
    <row r="896" spans="10:11" x14ac:dyDescent="0.25">
      <c r="J896" s="436"/>
      <c r="K896" s="436"/>
    </row>
    <row r="897" spans="10:11" x14ac:dyDescent="0.25">
      <c r="J897" s="436"/>
      <c r="K897" s="436"/>
    </row>
    <row r="898" spans="10:11" x14ac:dyDescent="0.25">
      <c r="J898" s="436"/>
      <c r="K898" s="436"/>
    </row>
    <row r="899" spans="10:11" x14ac:dyDescent="0.25">
      <c r="J899" s="436"/>
      <c r="K899" s="436"/>
    </row>
    <row r="900" spans="10:11" x14ac:dyDescent="0.25">
      <c r="J900" s="436"/>
      <c r="K900" s="436"/>
    </row>
    <row r="901" spans="10:11" x14ac:dyDescent="0.25">
      <c r="J901" s="436"/>
      <c r="K901" s="436"/>
    </row>
    <row r="902" spans="10:11" x14ac:dyDescent="0.25">
      <c r="J902" s="436"/>
      <c r="K902" s="436"/>
    </row>
    <row r="903" spans="10:11" x14ac:dyDescent="0.25">
      <c r="J903" s="436"/>
      <c r="K903" s="436"/>
    </row>
    <row r="904" spans="10:11" x14ac:dyDescent="0.25">
      <c r="J904" s="436"/>
      <c r="K904" s="436"/>
    </row>
    <row r="905" spans="10:11" x14ac:dyDescent="0.25">
      <c r="J905" s="436"/>
      <c r="K905" s="436"/>
    </row>
    <row r="906" spans="10:11" x14ac:dyDescent="0.25">
      <c r="J906" s="436"/>
      <c r="K906" s="436"/>
    </row>
    <row r="907" spans="10:11" x14ac:dyDescent="0.25">
      <c r="J907" s="436"/>
      <c r="K907" s="436"/>
    </row>
    <row r="908" spans="10:11" x14ac:dyDescent="0.25">
      <c r="J908" s="436"/>
      <c r="K908" s="436"/>
    </row>
    <row r="909" spans="10:11" x14ac:dyDescent="0.25">
      <c r="J909" s="436"/>
      <c r="K909" s="436"/>
    </row>
    <row r="910" spans="10:11" x14ac:dyDescent="0.25">
      <c r="J910" s="436"/>
      <c r="K910" s="436"/>
    </row>
    <row r="911" spans="10:11" x14ac:dyDescent="0.25">
      <c r="J911" s="436"/>
      <c r="K911" s="436"/>
    </row>
    <row r="912" spans="10:11" x14ac:dyDescent="0.25">
      <c r="J912" s="436"/>
      <c r="K912" s="436"/>
    </row>
    <row r="913" spans="10:11" x14ac:dyDescent="0.25">
      <c r="J913" s="436"/>
      <c r="K913" s="436"/>
    </row>
    <row r="914" spans="10:11" x14ac:dyDescent="0.25">
      <c r="J914" s="436"/>
      <c r="K914" s="436"/>
    </row>
    <row r="915" spans="10:11" x14ac:dyDescent="0.25">
      <c r="J915" s="436"/>
      <c r="K915" s="436"/>
    </row>
    <row r="916" spans="10:11" x14ac:dyDescent="0.25">
      <c r="J916" s="436"/>
      <c r="K916" s="436"/>
    </row>
    <row r="917" spans="10:11" x14ac:dyDescent="0.25">
      <c r="J917" s="436"/>
      <c r="K917" s="436"/>
    </row>
    <row r="918" spans="10:11" x14ac:dyDescent="0.25">
      <c r="J918" s="436"/>
      <c r="K918" s="436"/>
    </row>
    <row r="919" spans="10:11" x14ac:dyDescent="0.25">
      <c r="J919" s="436"/>
      <c r="K919" s="436"/>
    </row>
    <row r="920" spans="10:11" x14ac:dyDescent="0.25">
      <c r="J920" s="436"/>
      <c r="K920" s="436"/>
    </row>
    <row r="921" spans="10:11" x14ac:dyDescent="0.25">
      <c r="J921" s="436"/>
      <c r="K921" s="436"/>
    </row>
    <row r="922" spans="10:11" x14ac:dyDescent="0.25">
      <c r="J922" s="436"/>
      <c r="K922" s="436"/>
    </row>
    <row r="923" spans="10:11" x14ac:dyDescent="0.25">
      <c r="J923" s="436"/>
      <c r="K923" s="436"/>
    </row>
    <row r="924" spans="10:11" x14ac:dyDescent="0.25">
      <c r="J924" s="436"/>
      <c r="K924" s="436"/>
    </row>
    <row r="925" spans="10:11" x14ac:dyDescent="0.25">
      <c r="J925" s="436"/>
      <c r="K925" s="436"/>
    </row>
    <row r="926" spans="10:11" x14ac:dyDescent="0.25">
      <c r="J926" s="436"/>
      <c r="K926" s="436"/>
    </row>
    <row r="927" spans="10:11" x14ac:dyDescent="0.25">
      <c r="J927" s="436"/>
      <c r="K927" s="436"/>
    </row>
    <row r="928" spans="10:11" x14ac:dyDescent="0.25">
      <c r="J928" s="436"/>
      <c r="K928" s="436"/>
    </row>
    <row r="929" spans="10:11" x14ac:dyDescent="0.25">
      <c r="J929" s="436"/>
      <c r="K929" s="436"/>
    </row>
    <row r="930" spans="10:11" x14ac:dyDescent="0.25">
      <c r="J930" s="436"/>
      <c r="K930" s="436"/>
    </row>
    <row r="931" spans="10:11" x14ac:dyDescent="0.25">
      <c r="J931" s="436"/>
      <c r="K931" s="436"/>
    </row>
    <row r="932" spans="10:11" x14ac:dyDescent="0.25">
      <c r="J932" s="436"/>
      <c r="K932" s="436"/>
    </row>
    <row r="933" spans="10:11" x14ac:dyDescent="0.25">
      <c r="J933" s="436"/>
      <c r="K933" s="436"/>
    </row>
    <row r="934" spans="10:11" x14ac:dyDescent="0.25">
      <c r="J934" s="436"/>
      <c r="K934" s="436"/>
    </row>
    <row r="935" spans="10:11" x14ac:dyDescent="0.25">
      <c r="J935" s="436"/>
      <c r="K935" s="436"/>
    </row>
    <row r="936" spans="10:11" x14ac:dyDescent="0.25">
      <c r="J936" s="436"/>
      <c r="K936" s="436"/>
    </row>
    <row r="937" spans="10:11" x14ac:dyDescent="0.25">
      <c r="J937" s="436"/>
      <c r="K937" s="436"/>
    </row>
    <row r="938" spans="10:11" x14ac:dyDescent="0.25">
      <c r="J938" s="436"/>
      <c r="K938" s="436"/>
    </row>
    <row r="939" spans="10:11" x14ac:dyDescent="0.25">
      <c r="J939" s="436"/>
      <c r="K939" s="436"/>
    </row>
    <row r="940" spans="10:11" x14ac:dyDescent="0.25">
      <c r="J940" s="436"/>
      <c r="K940" s="436"/>
    </row>
    <row r="941" spans="10:11" x14ac:dyDescent="0.25">
      <c r="J941" s="436"/>
      <c r="K941" s="436"/>
    </row>
    <row r="942" spans="10:11" x14ac:dyDescent="0.25">
      <c r="J942" s="436"/>
      <c r="K942" s="436"/>
    </row>
    <row r="943" spans="10:11" x14ac:dyDescent="0.25">
      <c r="J943" s="436"/>
      <c r="K943" s="436"/>
    </row>
    <row r="944" spans="10:11" x14ac:dyDescent="0.25">
      <c r="J944" s="436"/>
      <c r="K944" s="436"/>
    </row>
    <row r="945" spans="10:11" x14ac:dyDescent="0.25">
      <c r="J945" s="436"/>
      <c r="K945" s="436"/>
    </row>
    <row r="946" spans="10:11" x14ac:dyDescent="0.25">
      <c r="J946" s="436"/>
      <c r="K946" s="436"/>
    </row>
    <row r="947" spans="10:11" x14ac:dyDescent="0.25">
      <c r="J947" s="436"/>
      <c r="K947" s="436"/>
    </row>
    <row r="948" spans="10:11" x14ac:dyDescent="0.25">
      <c r="J948" s="436"/>
      <c r="K948" s="436"/>
    </row>
    <row r="949" spans="10:11" x14ac:dyDescent="0.25">
      <c r="J949" s="436"/>
      <c r="K949" s="436"/>
    </row>
    <row r="950" spans="10:11" x14ac:dyDescent="0.25">
      <c r="J950" s="436"/>
      <c r="K950" s="436"/>
    </row>
    <row r="951" spans="10:11" x14ac:dyDescent="0.25">
      <c r="J951" s="436"/>
      <c r="K951" s="436"/>
    </row>
    <row r="952" spans="10:11" x14ac:dyDescent="0.25">
      <c r="J952" s="436"/>
      <c r="K952" s="436"/>
    </row>
    <row r="953" spans="10:11" x14ac:dyDescent="0.25">
      <c r="J953" s="436"/>
      <c r="K953" s="436"/>
    </row>
    <row r="954" spans="10:11" x14ac:dyDescent="0.25">
      <c r="J954" s="436"/>
      <c r="K954" s="436"/>
    </row>
    <row r="955" spans="10:11" x14ac:dyDescent="0.25">
      <c r="J955" s="436"/>
      <c r="K955" s="436"/>
    </row>
    <row r="956" spans="10:11" x14ac:dyDescent="0.25">
      <c r="J956" s="436"/>
      <c r="K956" s="436"/>
    </row>
    <row r="957" spans="10:11" x14ac:dyDescent="0.25">
      <c r="J957" s="436"/>
      <c r="K957" s="436"/>
    </row>
    <row r="958" spans="10:11" x14ac:dyDescent="0.25">
      <c r="J958" s="436"/>
      <c r="K958" s="436"/>
    </row>
    <row r="959" spans="10:11" x14ac:dyDescent="0.25">
      <c r="J959" s="436"/>
      <c r="K959" s="436"/>
    </row>
    <row r="960" spans="10:11" x14ac:dyDescent="0.25">
      <c r="J960" s="436"/>
      <c r="K960" s="436"/>
    </row>
    <row r="961" spans="10:11" x14ac:dyDescent="0.25">
      <c r="J961" s="436"/>
      <c r="K961" s="436"/>
    </row>
    <row r="962" spans="10:11" x14ac:dyDescent="0.25">
      <c r="J962" s="436"/>
      <c r="K962" s="436"/>
    </row>
    <row r="963" spans="10:11" x14ac:dyDescent="0.25">
      <c r="J963" s="436"/>
      <c r="K963" s="436"/>
    </row>
    <row r="964" spans="10:11" x14ac:dyDescent="0.25">
      <c r="J964" s="436"/>
      <c r="K964" s="436"/>
    </row>
    <row r="965" spans="10:11" x14ac:dyDescent="0.25">
      <c r="J965" s="436"/>
      <c r="K965" s="436"/>
    </row>
    <row r="966" spans="10:11" x14ac:dyDescent="0.25">
      <c r="J966" s="436"/>
      <c r="K966" s="436"/>
    </row>
    <row r="967" spans="10:11" x14ac:dyDescent="0.25">
      <c r="J967" s="436"/>
      <c r="K967" s="436"/>
    </row>
    <row r="968" spans="10:11" x14ac:dyDescent="0.25">
      <c r="J968" s="436"/>
      <c r="K968" s="436"/>
    </row>
    <row r="969" spans="10:11" x14ac:dyDescent="0.25">
      <c r="J969" s="436"/>
      <c r="K969" s="436"/>
    </row>
    <row r="970" spans="10:11" x14ac:dyDescent="0.25">
      <c r="J970" s="436"/>
      <c r="K970" s="436"/>
    </row>
    <row r="971" spans="10:11" x14ac:dyDescent="0.25">
      <c r="J971" s="436"/>
      <c r="K971" s="436"/>
    </row>
    <row r="972" spans="10:11" x14ac:dyDescent="0.25">
      <c r="J972" s="436"/>
      <c r="K972" s="436"/>
    </row>
    <row r="973" spans="10:11" x14ac:dyDescent="0.25">
      <c r="J973" s="436"/>
      <c r="K973" s="436"/>
    </row>
    <row r="974" spans="10:11" x14ac:dyDescent="0.25">
      <c r="J974" s="436"/>
      <c r="K974" s="436"/>
    </row>
    <row r="975" spans="10:11" x14ac:dyDescent="0.25">
      <c r="J975" s="436"/>
      <c r="K975" s="436"/>
    </row>
    <row r="976" spans="10:11" x14ac:dyDescent="0.25">
      <c r="J976" s="436"/>
      <c r="K976" s="436"/>
    </row>
    <row r="977" spans="10:11" x14ac:dyDescent="0.25">
      <c r="J977" s="436"/>
      <c r="K977" s="436"/>
    </row>
    <row r="978" spans="10:11" x14ac:dyDescent="0.25">
      <c r="J978" s="436"/>
      <c r="K978" s="436"/>
    </row>
    <row r="979" spans="10:11" x14ac:dyDescent="0.25">
      <c r="J979" s="436"/>
      <c r="K979" s="436"/>
    </row>
    <row r="980" spans="10:11" x14ac:dyDescent="0.25">
      <c r="J980" s="436"/>
      <c r="K980" s="436"/>
    </row>
    <row r="981" spans="10:11" x14ac:dyDescent="0.25">
      <c r="J981" s="436"/>
      <c r="K981" s="436"/>
    </row>
    <row r="982" spans="10:11" x14ac:dyDescent="0.25">
      <c r="J982" s="436"/>
      <c r="K982" s="436"/>
    </row>
    <row r="983" spans="10:11" x14ac:dyDescent="0.25">
      <c r="J983" s="436"/>
      <c r="K983" s="436"/>
    </row>
    <row r="984" spans="10:11" x14ac:dyDescent="0.25">
      <c r="J984" s="436"/>
      <c r="K984" s="436"/>
    </row>
    <row r="985" spans="10:11" x14ac:dyDescent="0.25">
      <c r="J985" s="436"/>
      <c r="K985" s="436"/>
    </row>
    <row r="986" spans="10:11" x14ac:dyDescent="0.25">
      <c r="J986" s="436"/>
      <c r="K986" s="436"/>
    </row>
    <row r="987" spans="10:11" x14ac:dyDescent="0.25">
      <c r="J987" s="436"/>
      <c r="K987" s="436"/>
    </row>
    <row r="988" spans="10:11" x14ac:dyDescent="0.25">
      <c r="J988" s="436"/>
      <c r="K988" s="436"/>
    </row>
    <row r="989" spans="10:11" x14ac:dyDescent="0.25">
      <c r="J989" s="436"/>
      <c r="K989" s="436"/>
    </row>
    <row r="990" spans="10:11" x14ac:dyDescent="0.25">
      <c r="J990" s="436"/>
      <c r="K990" s="436"/>
    </row>
    <row r="991" spans="10:11" x14ac:dyDescent="0.25">
      <c r="J991" s="436"/>
      <c r="K991" s="436"/>
    </row>
    <row r="992" spans="10:11" x14ac:dyDescent="0.25">
      <c r="J992" s="436"/>
      <c r="K992" s="436"/>
    </row>
    <row r="993" spans="10:11" x14ac:dyDescent="0.25">
      <c r="J993" s="436"/>
      <c r="K993" s="436"/>
    </row>
    <row r="994" spans="10:11" x14ac:dyDescent="0.25">
      <c r="J994" s="436"/>
      <c r="K994" s="436"/>
    </row>
    <row r="995" spans="10:11" x14ac:dyDescent="0.25">
      <c r="J995" s="436"/>
      <c r="K995" s="436"/>
    </row>
    <row r="996" spans="10:11" x14ac:dyDescent="0.25">
      <c r="J996" s="436"/>
      <c r="K996" s="436"/>
    </row>
    <row r="997" spans="10:11" x14ac:dyDescent="0.25">
      <c r="J997" s="436"/>
      <c r="K997" s="436"/>
    </row>
    <row r="998" spans="10:11" x14ac:dyDescent="0.25">
      <c r="J998" s="436"/>
      <c r="K998" s="436"/>
    </row>
    <row r="999" spans="10:11" x14ac:dyDescent="0.25">
      <c r="J999" s="436"/>
      <c r="K999" s="436"/>
    </row>
    <row r="1000" spans="10:11" x14ac:dyDescent="0.25">
      <c r="J1000" s="436"/>
      <c r="K1000" s="436"/>
    </row>
    <row r="1001" spans="10:11" x14ac:dyDescent="0.25">
      <c r="J1001" s="436"/>
      <c r="K1001" s="436"/>
    </row>
    <row r="1002" spans="10:11" x14ac:dyDescent="0.25">
      <c r="J1002" s="436"/>
      <c r="K1002" s="436"/>
    </row>
    <row r="1003" spans="10:11" x14ac:dyDescent="0.25">
      <c r="J1003" s="436"/>
      <c r="K1003" s="436"/>
    </row>
    <row r="1004" spans="10:11" x14ac:dyDescent="0.25">
      <c r="J1004" s="436"/>
      <c r="K1004" s="436"/>
    </row>
    <row r="1005" spans="10:11" x14ac:dyDescent="0.25">
      <c r="J1005" s="436"/>
      <c r="K1005" s="436"/>
    </row>
    <row r="1006" spans="10:11" x14ac:dyDescent="0.25">
      <c r="J1006" s="436"/>
      <c r="K1006" s="436"/>
    </row>
    <row r="1007" spans="10:11" x14ac:dyDescent="0.25">
      <c r="J1007" s="436"/>
      <c r="K1007" s="436"/>
    </row>
    <row r="1008" spans="10:11" x14ac:dyDescent="0.25">
      <c r="J1008" s="436"/>
      <c r="K1008" s="436"/>
    </row>
    <row r="1009" spans="10:11" x14ac:dyDescent="0.25">
      <c r="J1009" s="436"/>
      <c r="K1009" s="436"/>
    </row>
    <row r="1010" spans="10:11" x14ac:dyDescent="0.25">
      <c r="J1010" s="436"/>
      <c r="K1010" s="436"/>
    </row>
    <row r="1011" spans="10:11" x14ac:dyDescent="0.25">
      <c r="J1011" s="436"/>
      <c r="K1011" s="436"/>
    </row>
    <row r="1012" spans="10:11" x14ac:dyDescent="0.25">
      <c r="J1012" s="436"/>
      <c r="K1012" s="436"/>
    </row>
    <row r="1013" spans="10:11" x14ac:dyDescent="0.25">
      <c r="J1013" s="436"/>
      <c r="K1013" s="436"/>
    </row>
    <row r="1014" spans="10:11" x14ac:dyDescent="0.25">
      <c r="J1014" s="436"/>
      <c r="K1014" s="436"/>
    </row>
    <row r="1015" spans="10:11" x14ac:dyDescent="0.25">
      <c r="J1015" s="436"/>
      <c r="K1015" s="436"/>
    </row>
    <row r="1016" spans="10:11" x14ac:dyDescent="0.25">
      <c r="J1016" s="436"/>
      <c r="K1016" s="436"/>
    </row>
    <row r="1017" spans="10:11" x14ac:dyDescent="0.25">
      <c r="J1017" s="436"/>
      <c r="K1017" s="436"/>
    </row>
    <row r="1018" spans="10:11" x14ac:dyDescent="0.25">
      <c r="J1018" s="436"/>
      <c r="K1018" s="436"/>
    </row>
    <row r="1019" spans="10:11" x14ac:dyDescent="0.25">
      <c r="J1019" s="436"/>
      <c r="K1019" s="436"/>
    </row>
    <row r="1020" spans="10:11" x14ac:dyDescent="0.25">
      <c r="J1020" s="436"/>
      <c r="K1020" s="436"/>
    </row>
    <row r="1021" spans="10:11" x14ac:dyDescent="0.25">
      <c r="J1021" s="436"/>
      <c r="K1021" s="436"/>
    </row>
    <row r="1022" spans="10:11" x14ac:dyDescent="0.25">
      <c r="J1022" s="436"/>
      <c r="K1022" s="436"/>
    </row>
    <row r="1023" spans="10:11" x14ac:dyDescent="0.25">
      <c r="J1023" s="436"/>
      <c r="K1023" s="436"/>
    </row>
    <row r="1024" spans="10:11" x14ac:dyDescent="0.25">
      <c r="J1024" s="436"/>
      <c r="K1024" s="436"/>
    </row>
    <row r="1025" spans="10:11" x14ac:dyDescent="0.25">
      <c r="J1025" s="436"/>
      <c r="K1025" s="436"/>
    </row>
    <row r="1026" spans="10:11" x14ac:dyDescent="0.25">
      <c r="J1026" s="436"/>
      <c r="K1026" s="436"/>
    </row>
    <row r="1027" spans="10:11" x14ac:dyDescent="0.25">
      <c r="J1027" s="436"/>
      <c r="K1027" s="436"/>
    </row>
    <row r="1028" spans="10:11" x14ac:dyDescent="0.25">
      <c r="J1028" s="436"/>
      <c r="K1028" s="436"/>
    </row>
    <row r="1029" spans="10:11" x14ac:dyDescent="0.25">
      <c r="J1029" s="436"/>
      <c r="K1029" s="436"/>
    </row>
    <row r="1030" spans="10:11" x14ac:dyDescent="0.25">
      <c r="J1030" s="436"/>
      <c r="K1030" s="436"/>
    </row>
    <row r="1031" spans="10:11" x14ac:dyDescent="0.25">
      <c r="J1031" s="436"/>
      <c r="K1031" s="436"/>
    </row>
    <row r="1032" spans="10:11" x14ac:dyDescent="0.25">
      <c r="J1032" s="436"/>
      <c r="K1032" s="436"/>
    </row>
    <row r="1033" spans="10:11" x14ac:dyDescent="0.25">
      <c r="J1033" s="436"/>
      <c r="K1033" s="436"/>
    </row>
    <row r="1034" spans="10:11" x14ac:dyDescent="0.25">
      <c r="J1034" s="436"/>
      <c r="K1034" s="436"/>
    </row>
    <row r="1035" spans="10:11" x14ac:dyDescent="0.25">
      <c r="J1035" s="436"/>
      <c r="K1035" s="436"/>
    </row>
    <row r="1036" spans="10:11" x14ac:dyDescent="0.25">
      <c r="J1036" s="436"/>
      <c r="K1036" s="436"/>
    </row>
    <row r="1037" spans="10:11" x14ac:dyDescent="0.25">
      <c r="J1037" s="436"/>
      <c r="K1037" s="436"/>
    </row>
    <row r="1038" spans="10:11" x14ac:dyDescent="0.25">
      <c r="J1038" s="436"/>
      <c r="K1038" s="436"/>
    </row>
    <row r="1039" spans="10:11" x14ac:dyDescent="0.25">
      <c r="J1039" s="436"/>
      <c r="K1039" s="436"/>
    </row>
    <row r="1040" spans="10:11" x14ac:dyDescent="0.25">
      <c r="J1040" s="436"/>
      <c r="K1040" s="436"/>
    </row>
    <row r="1041" spans="10:11" x14ac:dyDescent="0.25">
      <c r="J1041" s="436"/>
      <c r="K1041" s="436"/>
    </row>
    <row r="1042" spans="10:11" x14ac:dyDescent="0.25">
      <c r="J1042" s="436"/>
      <c r="K1042" s="436"/>
    </row>
    <row r="1043" spans="10:11" x14ac:dyDescent="0.25">
      <c r="J1043" s="436"/>
      <c r="K1043" s="436"/>
    </row>
    <row r="1044" spans="10:11" x14ac:dyDescent="0.25">
      <c r="J1044" s="436"/>
      <c r="K1044" s="436"/>
    </row>
    <row r="1045" spans="10:11" x14ac:dyDescent="0.25">
      <c r="J1045" s="436"/>
      <c r="K1045" s="436"/>
    </row>
    <row r="1046" spans="10:11" x14ac:dyDescent="0.25">
      <c r="J1046" s="436"/>
      <c r="K1046" s="436"/>
    </row>
    <row r="1047" spans="10:11" x14ac:dyDescent="0.25">
      <c r="J1047" s="436"/>
      <c r="K1047" s="436"/>
    </row>
    <row r="1048" spans="10:11" x14ac:dyDescent="0.25">
      <c r="J1048" s="436"/>
      <c r="K1048" s="436"/>
    </row>
    <row r="1049" spans="10:11" x14ac:dyDescent="0.25">
      <c r="J1049" s="436"/>
      <c r="K1049" s="436"/>
    </row>
    <row r="1050" spans="10:11" x14ac:dyDescent="0.25">
      <c r="J1050" s="436"/>
      <c r="K1050" s="436"/>
    </row>
    <row r="1051" spans="10:11" x14ac:dyDescent="0.25">
      <c r="J1051" s="436"/>
      <c r="K1051" s="436"/>
    </row>
    <row r="1052" spans="10:11" x14ac:dyDescent="0.25">
      <c r="J1052" s="436"/>
      <c r="K1052" s="436"/>
    </row>
    <row r="1053" spans="10:11" x14ac:dyDescent="0.25">
      <c r="J1053" s="436"/>
      <c r="K1053" s="436"/>
    </row>
    <row r="1054" spans="10:11" x14ac:dyDescent="0.25">
      <c r="J1054" s="436"/>
      <c r="K1054" s="436"/>
    </row>
    <row r="1055" spans="10:11" x14ac:dyDescent="0.25">
      <c r="J1055" s="436"/>
      <c r="K1055" s="436"/>
    </row>
    <row r="1056" spans="10:11" x14ac:dyDescent="0.25">
      <c r="J1056" s="436"/>
      <c r="K1056" s="436"/>
    </row>
    <row r="1057" spans="10:11" x14ac:dyDescent="0.25">
      <c r="J1057" s="436"/>
      <c r="K1057" s="436"/>
    </row>
    <row r="1058" spans="10:11" x14ac:dyDescent="0.25">
      <c r="J1058" s="436"/>
      <c r="K1058" s="436"/>
    </row>
    <row r="1059" spans="10:11" x14ac:dyDescent="0.25">
      <c r="J1059" s="436"/>
      <c r="K1059" s="436"/>
    </row>
    <row r="1060" spans="10:11" x14ac:dyDescent="0.25">
      <c r="J1060" s="436"/>
      <c r="K1060" s="436"/>
    </row>
    <row r="1061" spans="10:11" x14ac:dyDescent="0.25">
      <c r="J1061" s="436"/>
      <c r="K1061" s="436"/>
    </row>
    <row r="1062" spans="10:11" x14ac:dyDescent="0.25">
      <c r="J1062" s="436"/>
      <c r="K1062" s="436"/>
    </row>
    <row r="1063" spans="10:11" x14ac:dyDescent="0.25">
      <c r="J1063" s="436"/>
      <c r="K1063" s="436"/>
    </row>
    <row r="1064" spans="10:11" x14ac:dyDescent="0.25">
      <c r="J1064" s="436"/>
      <c r="K1064" s="436"/>
    </row>
    <row r="1065" spans="10:11" x14ac:dyDescent="0.25">
      <c r="J1065" s="436"/>
      <c r="K1065" s="436"/>
    </row>
    <row r="1066" spans="10:11" x14ac:dyDescent="0.25">
      <c r="J1066" s="436"/>
      <c r="K1066" s="436"/>
    </row>
    <row r="1067" spans="10:11" x14ac:dyDescent="0.25">
      <c r="J1067" s="436"/>
      <c r="K1067" s="436"/>
    </row>
    <row r="1068" spans="10:11" x14ac:dyDescent="0.25">
      <c r="J1068" s="436"/>
      <c r="K1068" s="436"/>
    </row>
    <row r="1069" spans="10:11" x14ac:dyDescent="0.25">
      <c r="J1069" s="436"/>
      <c r="K1069" s="436"/>
    </row>
    <row r="1070" spans="10:11" x14ac:dyDescent="0.25">
      <c r="J1070" s="436"/>
      <c r="K1070" s="436"/>
    </row>
    <row r="1071" spans="10:11" x14ac:dyDescent="0.25">
      <c r="J1071" s="436"/>
      <c r="K1071" s="436"/>
    </row>
    <row r="1072" spans="10:11" x14ac:dyDescent="0.25">
      <c r="J1072" s="436"/>
      <c r="K1072" s="436"/>
    </row>
    <row r="1073" spans="10:11" x14ac:dyDescent="0.25">
      <c r="J1073" s="436"/>
      <c r="K1073" s="436"/>
    </row>
    <row r="1074" spans="10:11" x14ac:dyDescent="0.25">
      <c r="J1074" s="436"/>
      <c r="K1074" s="436"/>
    </row>
    <row r="1075" spans="10:11" x14ac:dyDescent="0.25">
      <c r="J1075" s="436"/>
      <c r="K1075" s="436"/>
    </row>
    <row r="1076" spans="10:11" x14ac:dyDescent="0.25">
      <c r="J1076" s="436"/>
      <c r="K1076" s="436"/>
    </row>
    <row r="1077" spans="10:11" x14ac:dyDescent="0.25">
      <c r="J1077" s="436"/>
      <c r="K1077" s="436"/>
    </row>
    <row r="1078" spans="10:11" x14ac:dyDescent="0.25">
      <c r="J1078" s="436"/>
      <c r="K1078" s="436"/>
    </row>
    <row r="1079" spans="10:11" x14ac:dyDescent="0.25">
      <c r="J1079" s="436"/>
      <c r="K1079" s="436"/>
    </row>
    <row r="1080" spans="10:11" x14ac:dyDescent="0.25">
      <c r="J1080" s="436"/>
      <c r="K1080" s="436"/>
    </row>
    <row r="1081" spans="10:11" x14ac:dyDescent="0.25">
      <c r="J1081" s="436"/>
      <c r="K1081" s="436"/>
    </row>
    <row r="1082" spans="10:11" x14ac:dyDescent="0.25">
      <c r="J1082" s="436"/>
      <c r="K1082" s="436"/>
    </row>
    <row r="1083" spans="10:11" x14ac:dyDescent="0.25">
      <c r="J1083" s="436"/>
      <c r="K1083" s="436"/>
    </row>
    <row r="1084" spans="10:11" x14ac:dyDescent="0.25">
      <c r="J1084" s="436"/>
      <c r="K1084" s="436"/>
    </row>
    <row r="1085" spans="10:11" x14ac:dyDescent="0.25">
      <c r="J1085" s="436"/>
      <c r="K1085" s="436"/>
    </row>
    <row r="1086" spans="10:11" x14ac:dyDescent="0.25">
      <c r="J1086" s="436"/>
      <c r="K1086" s="436"/>
    </row>
    <row r="1087" spans="10:11" x14ac:dyDescent="0.25">
      <c r="J1087" s="436"/>
      <c r="K1087" s="436"/>
    </row>
    <row r="1088" spans="10:11" x14ac:dyDescent="0.25">
      <c r="J1088" s="436"/>
      <c r="K1088" s="436"/>
    </row>
    <row r="1089" spans="10:11" x14ac:dyDescent="0.25">
      <c r="J1089" s="436"/>
      <c r="K1089" s="436"/>
    </row>
    <row r="1090" spans="10:11" x14ac:dyDescent="0.25">
      <c r="J1090" s="436"/>
      <c r="K1090" s="436"/>
    </row>
    <row r="1091" spans="10:11" x14ac:dyDescent="0.25">
      <c r="J1091" s="436"/>
      <c r="K1091" s="436"/>
    </row>
    <row r="1092" spans="10:11" x14ac:dyDescent="0.25">
      <c r="J1092" s="436"/>
      <c r="K1092" s="436"/>
    </row>
    <row r="1093" spans="10:11" x14ac:dyDescent="0.25">
      <c r="J1093" s="436"/>
      <c r="K1093" s="436"/>
    </row>
    <row r="1094" spans="10:11" x14ac:dyDescent="0.25">
      <c r="J1094" s="436"/>
      <c r="K1094" s="436"/>
    </row>
    <row r="1095" spans="10:11" x14ac:dyDescent="0.25">
      <c r="J1095" s="436"/>
      <c r="K1095" s="436"/>
    </row>
    <row r="1096" spans="10:11" x14ac:dyDescent="0.25">
      <c r="J1096" s="436"/>
      <c r="K1096" s="436"/>
    </row>
    <row r="1097" spans="10:11" x14ac:dyDescent="0.25">
      <c r="J1097" s="436"/>
      <c r="K1097" s="436"/>
    </row>
    <row r="1098" spans="10:11" x14ac:dyDescent="0.25">
      <c r="J1098" s="436"/>
      <c r="K1098" s="436"/>
    </row>
    <row r="1099" spans="10:11" x14ac:dyDescent="0.25">
      <c r="J1099" s="436"/>
      <c r="K1099" s="436"/>
    </row>
    <row r="1100" spans="10:11" x14ac:dyDescent="0.25">
      <c r="J1100" s="436"/>
      <c r="K1100" s="436"/>
    </row>
    <row r="1101" spans="10:11" x14ac:dyDescent="0.25">
      <c r="J1101" s="436"/>
      <c r="K1101" s="436"/>
    </row>
    <row r="1102" spans="10:11" x14ac:dyDescent="0.25">
      <c r="J1102" s="436"/>
      <c r="K1102" s="436"/>
    </row>
    <row r="1103" spans="10:11" x14ac:dyDescent="0.25">
      <c r="J1103" s="436"/>
      <c r="K1103" s="436"/>
    </row>
    <row r="1104" spans="10:11" x14ac:dyDescent="0.25">
      <c r="J1104" s="436"/>
      <c r="K1104" s="436"/>
    </row>
    <row r="1105" spans="10:11" x14ac:dyDescent="0.25">
      <c r="J1105" s="436"/>
      <c r="K1105" s="436"/>
    </row>
    <row r="1106" spans="10:11" x14ac:dyDescent="0.25">
      <c r="J1106" s="436"/>
      <c r="K1106" s="436"/>
    </row>
    <row r="1107" spans="10:11" x14ac:dyDescent="0.25">
      <c r="J1107" s="436"/>
      <c r="K1107" s="436"/>
    </row>
    <row r="1108" spans="10:11" x14ac:dyDescent="0.25">
      <c r="J1108" s="436"/>
      <c r="K1108" s="436"/>
    </row>
    <row r="1109" spans="10:11" x14ac:dyDescent="0.25">
      <c r="J1109" s="436"/>
      <c r="K1109" s="436"/>
    </row>
    <row r="1110" spans="10:11" x14ac:dyDescent="0.25">
      <c r="J1110" s="436"/>
      <c r="K1110" s="436"/>
    </row>
    <row r="1111" spans="10:11" x14ac:dyDescent="0.25">
      <c r="J1111" s="436"/>
      <c r="K1111" s="436"/>
    </row>
    <row r="1112" spans="10:11" x14ac:dyDescent="0.25">
      <c r="J1112" s="436"/>
      <c r="K1112" s="436"/>
    </row>
    <row r="1113" spans="10:11" x14ac:dyDescent="0.25">
      <c r="J1113" s="436"/>
      <c r="K1113" s="436"/>
    </row>
    <row r="1114" spans="10:11" x14ac:dyDescent="0.25">
      <c r="J1114" s="436"/>
      <c r="K1114" s="436"/>
    </row>
    <row r="1115" spans="10:11" x14ac:dyDescent="0.25">
      <c r="J1115" s="436"/>
      <c r="K1115" s="436"/>
    </row>
    <row r="1116" spans="10:11" x14ac:dyDescent="0.25">
      <c r="J1116" s="436"/>
      <c r="K1116" s="436"/>
    </row>
    <row r="1117" spans="10:11" x14ac:dyDescent="0.25">
      <c r="J1117" s="436"/>
      <c r="K1117" s="436"/>
    </row>
    <row r="1118" spans="10:11" x14ac:dyDescent="0.25">
      <c r="J1118" s="436"/>
      <c r="K1118" s="436"/>
    </row>
    <row r="1119" spans="10:11" x14ac:dyDescent="0.25">
      <c r="J1119" s="436"/>
      <c r="K1119" s="436"/>
    </row>
    <row r="1120" spans="10:11" x14ac:dyDescent="0.25">
      <c r="J1120" s="436"/>
      <c r="K1120" s="436"/>
    </row>
    <row r="1121" spans="10:11" x14ac:dyDescent="0.25">
      <c r="J1121" s="436"/>
      <c r="K1121" s="436"/>
    </row>
    <row r="1122" spans="10:11" x14ac:dyDescent="0.25">
      <c r="J1122" s="436"/>
      <c r="K1122" s="436"/>
    </row>
    <row r="1123" spans="10:11" x14ac:dyDescent="0.25">
      <c r="J1123" s="436"/>
      <c r="K1123" s="436"/>
    </row>
    <row r="1124" spans="10:11" x14ac:dyDescent="0.25">
      <c r="J1124" s="436"/>
      <c r="K1124" s="436"/>
    </row>
    <row r="1125" spans="10:11" x14ac:dyDescent="0.25">
      <c r="J1125" s="436"/>
      <c r="K1125" s="436"/>
    </row>
    <row r="1126" spans="10:11" x14ac:dyDescent="0.25">
      <c r="J1126" s="436"/>
      <c r="K1126" s="436"/>
    </row>
    <row r="1127" spans="10:11" x14ac:dyDescent="0.25">
      <c r="J1127" s="436"/>
      <c r="K1127" s="436"/>
    </row>
    <row r="1128" spans="10:11" x14ac:dyDescent="0.25">
      <c r="J1128" s="436"/>
      <c r="K1128" s="436"/>
    </row>
    <row r="1129" spans="10:11" x14ac:dyDescent="0.25">
      <c r="J1129" s="436"/>
      <c r="K1129" s="436"/>
    </row>
    <row r="1130" spans="10:11" x14ac:dyDescent="0.25">
      <c r="J1130" s="436"/>
      <c r="K1130" s="436"/>
    </row>
    <row r="1131" spans="10:11" x14ac:dyDescent="0.25">
      <c r="J1131" s="436"/>
      <c r="K1131" s="436"/>
    </row>
    <row r="1132" spans="10:11" x14ac:dyDescent="0.25">
      <c r="J1132" s="436"/>
      <c r="K1132" s="436"/>
    </row>
    <row r="1133" spans="10:11" x14ac:dyDescent="0.25">
      <c r="J1133" s="436"/>
      <c r="K1133" s="436"/>
    </row>
    <row r="1134" spans="10:11" x14ac:dyDescent="0.25">
      <c r="J1134" s="436"/>
      <c r="K1134" s="436"/>
    </row>
    <row r="1135" spans="10:11" x14ac:dyDescent="0.25">
      <c r="J1135" s="436"/>
      <c r="K1135" s="436"/>
    </row>
    <row r="1136" spans="10:11" x14ac:dyDescent="0.25">
      <c r="J1136" s="436"/>
      <c r="K1136" s="436"/>
    </row>
    <row r="1137" spans="10:11" x14ac:dyDescent="0.25">
      <c r="J1137" s="436"/>
      <c r="K1137" s="436"/>
    </row>
    <row r="1138" spans="10:11" x14ac:dyDescent="0.25">
      <c r="J1138" s="436"/>
      <c r="K1138" s="436"/>
    </row>
    <row r="1139" spans="10:11" x14ac:dyDescent="0.25">
      <c r="J1139" s="436"/>
      <c r="K1139" s="436"/>
    </row>
    <row r="1140" spans="10:11" x14ac:dyDescent="0.25">
      <c r="J1140" s="436"/>
      <c r="K1140" s="436"/>
    </row>
    <row r="1141" spans="10:11" x14ac:dyDescent="0.25">
      <c r="J1141" s="436"/>
      <c r="K1141" s="436"/>
    </row>
    <row r="1142" spans="10:11" x14ac:dyDescent="0.25">
      <c r="J1142" s="436"/>
      <c r="K1142" s="436"/>
    </row>
    <row r="1143" spans="10:11" x14ac:dyDescent="0.25">
      <c r="J1143" s="436"/>
      <c r="K1143" s="436"/>
    </row>
    <row r="1144" spans="10:11" x14ac:dyDescent="0.25">
      <c r="J1144" s="436"/>
      <c r="K1144" s="436"/>
    </row>
    <row r="1145" spans="10:11" x14ac:dyDescent="0.25">
      <c r="J1145" s="436"/>
      <c r="K1145" s="436"/>
    </row>
    <row r="1146" spans="10:11" x14ac:dyDescent="0.25">
      <c r="J1146" s="436"/>
      <c r="K1146" s="436"/>
    </row>
    <row r="1147" spans="10:11" x14ac:dyDescent="0.25">
      <c r="J1147" s="436"/>
      <c r="K1147" s="436"/>
    </row>
    <row r="1148" spans="10:11" x14ac:dyDescent="0.25">
      <c r="J1148" s="436"/>
      <c r="K1148" s="436"/>
    </row>
    <row r="1149" spans="10:11" x14ac:dyDescent="0.25">
      <c r="J1149" s="436"/>
      <c r="K1149" s="436"/>
    </row>
    <row r="1150" spans="10:11" x14ac:dyDescent="0.25">
      <c r="J1150" s="436"/>
      <c r="K1150" s="436"/>
    </row>
    <row r="1151" spans="10:11" x14ac:dyDescent="0.25">
      <c r="J1151" s="436"/>
      <c r="K1151" s="436"/>
    </row>
    <row r="1152" spans="10:11" x14ac:dyDescent="0.25">
      <c r="J1152" s="436"/>
      <c r="K1152" s="436"/>
    </row>
    <row r="1153" spans="10:11" x14ac:dyDescent="0.25">
      <c r="J1153" s="436"/>
      <c r="K1153" s="436"/>
    </row>
    <row r="1154" spans="10:11" x14ac:dyDescent="0.25">
      <c r="J1154" s="436"/>
      <c r="K1154" s="436"/>
    </row>
    <row r="1155" spans="10:11" x14ac:dyDescent="0.25">
      <c r="J1155" s="436"/>
      <c r="K1155" s="436"/>
    </row>
    <row r="1156" spans="10:11" x14ac:dyDescent="0.25">
      <c r="J1156" s="436"/>
      <c r="K1156" s="436"/>
    </row>
    <row r="1157" spans="10:11" x14ac:dyDescent="0.25">
      <c r="J1157" s="436"/>
      <c r="K1157" s="436"/>
    </row>
    <row r="1158" spans="10:11" x14ac:dyDescent="0.25">
      <c r="J1158" s="436"/>
      <c r="K1158" s="436"/>
    </row>
    <row r="1159" spans="10:11" x14ac:dyDescent="0.25">
      <c r="J1159" s="436"/>
      <c r="K1159" s="436"/>
    </row>
    <row r="1160" spans="10:11" x14ac:dyDescent="0.25">
      <c r="J1160" s="436"/>
      <c r="K1160" s="436"/>
    </row>
    <row r="1161" spans="10:11" x14ac:dyDescent="0.25">
      <c r="J1161" s="436"/>
      <c r="K1161" s="436"/>
    </row>
    <row r="1162" spans="10:11" x14ac:dyDescent="0.25">
      <c r="J1162" s="436"/>
      <c r="K1162" s="436"/>
    </row>
    <row r="1163" spans="10:11" x14ac:dyDescent="0.25">
      <c r="J1163" s="436"/>
      <c r="K1163" s="436"/>
    </row>
    <row r="1164" spans="10:11" x14ac:dyDescent="0.25">
      <c r="J1164" s="436"/>
      <c r="K1164" s="436"/>
    </row>
    <row r="1165" spans="10:11" x14ac:dyDescent="0.25">
      <c r="J1165" s="436"/>
      <c r="K1165" s="436"/>
    </row>
    <row r="1166" spans="10:11" x14ac:dyDescent="0.25">
      <c r="J1166" s="436"/>
      <c r="K1166" s="436"/>
    </row>
    <row r="1167" spans="10:11" x14ac:dyDescent="0.25">
      <c r="J1167" s="436"/>
      <c r="K1167" s="436"/>
    </row>
    <row r="1168" spans="10:11" x14ac:dyDescent="0.25">
      <c r="J1168" s="436"/>
      <c r="K1168" s="436"/>
    </row>
    <row r="1169" spans="10:11" x14ac:dyDescent="0.25">
      <c r="J1169" s="436"/>
      <c r="K1169" s="436"/>
    </row>
    <row r="1170" spans="10:11" x14ac:dyDescent="0.25">
      <c r="J1170" s="436"/>
      <c r="K1170" s="436"/>
    </row>
    <row r="1171" spans="10:11" x14ac:dyDescent="0.25">
      <c r="J1171" s="436"/>
      <c r="K1171" s="436"/>
    </row>
    <row r="1172" spans="10:11" x14ac:dyDescent="0.25">
      <c r="J1172" s="436"/>
      <c r="K1172" s="436"/>
    </row>
    <row r="1173" spans="10:11" x14ac:dyDescent="0.25">
      <c r="J1173" s="436"/>
      <c r="K1173" s="436"/>
    </row>
    <row r="1174" spans="10:11" x14ac:dyDescent="0.25">
      <c r="J1174" s="436"/>
      <c r="K1174" s="436"/>
    </row>
    <row r="1175" spans="10:11" x14ac:dyDescent="0.25">
      <c r="J1175" s="436"/>
      <c r="K1175" s="436"/>
    </row>
    <row r="1176" spans="10:11" x14ac:dyDescent="0.25">
      <c r="J1176" s="436"/>
      <c r="K1176" s="436"/>
    </row>
    <row r="1177" spans="10:11" x14ac:dyDescent="0.25">
      <c r="J1177" s="436"/>
      <c r="K1177" s="436"/>
    </row>
    <row r="1178" spans="10:11" x14ac:dyDescent="0.25">
      <c r="J1178" s="436"/>
      <c r="K1178" s="436"/>
    </row>
    <row r="1179" spans="10:11" x14ac:dyDescent="0.25">
      <c r="J1179" s="436"/>
      <c r="K1179" s="436"/>
    </row>
    <row r="1180" spans="10:11" x14ac:dyDescent="0.25">
      <c r="J1180" s="436"/>
      <c r="K1180" s="436"/>
    </row>
    <row r="1181" spans="10:11" x14ac:dyDescent="0.25">
      <c r="J1181" s="436"/>
      <c r="K1181" s="436"/>
    </row>
    <row r="1182" spans="10:11" x14ac:dyDescent="0.25">
      <c r="J1182" s="436"/>
      <c r="K1182" s="436"/>
    </row>
    <row r="1183" spans="10:11" x14ac:dyDescent="0.25">
      <c r="J1183" s="436"/>
      <c r="K1183" s="436"/>
    </row>
    <row r="1184" spans="10:11" x14ac:dyDescent="0.25">
      <c r="J1184" s="436"/>
      <c r="K1184" s="436"/>
    </row>
    <row r="1185" spans="10:11" x14ac:dyDescent="0.25">
      <c r="J1185" s="436"/>
      <c r="K1185" s="436"/>
    </row>
    <row r="1186" spans="10:11" x14ac:dyDescent="0.25">
      <c r="J1186" s="436"/>
      <c r="K1186" s="436"/>
    </row>
    <row r="1187" spans="10:11" x14ac:dyDescent="0.25">
      <c r="J1187" s="436"/>
      <c r="K1187" s="436"/>
    </row>
    <row r="1188" spans="10:11" x14ac:dyDescent="0.25">
      <c r="J1188" s="436"/>
      <c r="K1188" s="436"/>
    </row>
    <row r="1189" spans="10:11" x14ac:dyDescent="0.25">
      <c r="J1189" s="436"/>
      <c r="K1189" s="436"/>
    </row>
    <row r="1190" spans="10:11" x14ac:dyDescent="0.25">
      <c r="J1190" s="436"/>
      <c r="K1190" s="436"/>
    </row>
    <row r="1191" spans="10:11" x14ac:dyDescent="0.25">
      <c r="J1191" s="436"/>
      <c r="K1191" s="436"/>
    </row>
    <row r="1192" spans="10:11" x14ac:dyDescent="0.25">
      <c r="J1192" s="436"/>
      <c r="K1192" s="436"/>
    </row>
    <row r="1193" spans="10:11" x14ac:dyDescent="0.25">
      <c r="J1193" s="436"/>
      <c r="K1193" s="436"/>
    </row>
    <row r="1194" spans="10:11" x14ac:dyDescent="0.25">
      <c r="J1194" s="436"/>
      <c r="K1194" s="436"/>
    </row>
    <row r="1195" spans="10:11" x14ac:dyDescent="0.25">
      <c r="J1195" s="436"/>
      <c r="K1195" s="436"/>
    </row>
    <row r="1196" spans="10:11" x14ac:dyDescent="0.25">
      <c r="J1196" s="436"/>
      <c r="K1196" s="436"/>
    </row>
    <row r="1197" spans="10:11" x14ac:dyDescent="0.25">
      <c r="J1197" s="436"/>
      <c r="K1197" s="436"/>
    </row>
    <row r="1198" spans="10:11" x14ac:dyDescent="0.25">
      <c r="J1198" s="436"/>
      <c r="K1198" s="436"/>
    </row>
    <row r="1199" spans="10:11" x14ac:dyDescent="0.25">
      <c r="J1199" s="436"/>
      <c r="K1199" s="436"/>
    </row>
    <row r="1200" spans="10:11" x14ac:dyDescent="0.25">
      <c r="J1200" s="436"/>
      <c r="K1200" s="436"/>
    </row>
    <row r="1201" spans="10:11" x14ac:dyDescent="0.25">
      <c r="J1201" s="436"/>
      <c r="K1201" s="436"/>
    </row>
    <row r="1202" spans="10:11" x14ac:dyDescent="0.25">
      <c r="J1202" s="436"/>
      <c r="K1202" s="436"/>
    </row>
    <row r="1203" spans="10:11" x14ac:dyDescent="0.25">
      <c r="J1203" s="436"/>
      <c r="K1203" s="436"/>
    </row>
    <row r="1204" spans="10:11" x14ac:dyDescent="0.25">
      <c r="J1204" s="436"/>
      <c r="K1204" s="436"/>
    </row>
    <row r="1205" spans="10:11" x14ac:dyDescent="0.25">
      <c r="J1205" s="436"/>
      <c r="K1205" s="436"/>
    </row>
    <row r="1206" spans="10:11" x14ac:dyDescent="0.25">
      <c r="J1206" s="436"/>
      <c r="K1206" s="436"/>
    </row>
    <row r="1207" spans="10:11" x14ac:dyDescent="0.25">
      <c r="J1207" s="436"/>
      <c r="K1207" s="436"/>
    </row>
    <row r="1208" spans="10:11" x14ac:dyDescent="0.25">
      <c r="J1208" s="436"/>
      <c r="K1208" s="436"/>
    </row>
    <row r="1209" spans="10:11" x14ac:dyDescent="0.25">
      <c r="J1209" s="436"/>
      <c r="K1209" s="436"/>
    </row>
    <row r="1210" spans="10:11" x14ac:dyDescent="0.25">
      <c r="J1210" s="436"/>
      <c r="K1210" s="436"/>
    </row>
    <row r="1211" spans="10:11" x14ac:dyDescent="0.25">
      <c r="J1211" s="436"/>
      <c r="K1211" s="436"/>
    </row>
    <row r="1212" spans="10:11" x14ac:dyDescent="0.25">
      <c r="J1212" s="436"/>
      <c r="K1212" s="436"/>
    </row>
    <row r="1213" spans="10:11" x14ac:dyDescent="0.25">
      <c r="J1213" s="436"/>
      <c r="K1213" s="436"/>
    </row>
    <row r="1214" spans="10:11" x14ac:dyDescent="0.25">
      <c r="J1214" s="436"/>
      <c r="K1214" s="436"/>
    </row>
    <row r="1215" spans="10:11" x14ac:dyDescent="0.25">
      <c r="J1215" s="436"/>
      <c r="K1215" s="436"/>
    </row>
    <row r="1216" spans="10:11" x14ac:dyDescent="0.25">
      <c r="J1216" s="436"/>
      <c r="K1216" s="436"/>
    </row>
    <row r="1217" spans="10:11" x14ac:dyDescent="0.25">
      <c r="J1217" s="436"/>
      <c r="K1217" s="436"/>
    </row>
    <row r="1218" spans="10:11" x14ac:dyDescent="0.25">
      <c r="J1218" s="436"/>
      <c r="K1218" s="436"/>
    </row>
    <row r="1219" spans="10:11" x14ac:dyDescent="0.25">
      <c r="J1219" s="436"/>
      <c r="K1219" s="436"/>
    </row>
    <row r="1220" spans="10:11" x14ac:dyDescent="0.25">
      <c r="J1220" s="436"/>
      <c r="K1220" s="436"/>
    </row>
    <row r="1221" spans="10:11" x14ac:dyDescent="0.25">
      <c r="J1221" s="436"/>
      <c r="K1221" s="436"/>
    </row>
    <row r="1222" spans="10:11" x14ac:dyDescent="0.25">
      <c r="J1222" s="436"/>
      <c r="K1222" s="436"/>
    </row>
    <row r="1223" spans="10:11" x14ac:dyDescent="0.25">
      <c r="J1223" s="436"/>
      <c r="K1223" s="436"/>
    </row>
    <row r="1224" spans="10:11" x14ac:dyDescent="0.25">
      <c r="J1224" s="436"/>
      <c r="K1224" s="436"/>
    </row>
    <row r="1225" spans="10:11" x14ac:dyDescent="0.25">
      <c r="J1225" s="436"/>
      <c r="K1225" s="436"/>
    </row>
    <row r="1226" spans="10:11" x14ac:dyDescent="0.25">
      <c r="J1226" s="436"/>
      <c r="K1226" s="436"/>
    </row>
    <row r="1227" spans="10:11" x14ac:dyDescent="0.25">
      <c r="J1227" s="436"/>
      <c r="K1227" s="436"/>
    </row>
    <row r="1228" spans="10:11" x14ac:dyDescent="0.25">
      <c r="J1228" s="436"/>
      <c r="K1228" s="436"/>
    </row>
    <row r="1229" spans="10:11" x14ac:dyDescent="0.25">
      <c r="J1229" s="436"/>
      <c r="K1229" s="436"/>
    </row>
    <row r="1230" spans="10:11" x14ac:dyDescent="0.25">
      <c r="J1230" s="436"/>
      <c r="K1230" s="436"/>
    </row>
    <row r="1231" spans="10:11" x14ac:dyDescent="0.25">
      <c r="J1231" s="436"/>
      <c r="K1231" s="436"/>
    </row>
    <row r="1232" spans="10:11" x14ac:dyDescent="0.25">
      <c r="J1232" s="436"/>
      <c r="K1232" s="436"/>
    </row>
    <row r="1233" spans="10:11" x14ac:dyDescent="0.25">
      <c r="J1233" s="436"/>
      <c r="K1233" s="436"/>
    </row>
    <row r="1234" spans="10:11" x14ac:dyDescent="0.25">
      <c r="J1234" s="436"/>
      <c r="K1234" s="436"/>
    </row>
    <row r="1235" spans="10:11" x14ac:dyDescent="0.25">
      <c r="J1235" s="436"/>
      <c r="K1235" s="436"/>
    </row>
    <row r="1236" spans="10:11" x14ac:dyDescent="0.25">
      <c r="J1236" s="436"/>
      <c r="K1236" s="436"/>
    </row>
    <row r="1237" spans="10:11" x14ac:dyDescent="0.25">
      <c r="J1237" s="436"/>
      <c r="K1237" s="436"/>
    </row>
    <row r="1238" spans="10:11" x14ac:dyDescent="0.25">
      <c r="J1238" s="436"/>
      <c r="K1238" s="436"/>
    </row>
    <row r="1239" spans="10:11" x14ac:dyDescent="0.25">
      <c r="J1239" s="436"/>
      <c r="K1239" s="436"/>
    </row>
    <row r="1240" spans="10:11" x14ac:dyDescent="0.25">
      <c r="J1240" s="436"/>
      <c r="K1240" s="436"/>
    </row>
    <row r="1241" spans="10:11" x14ac:dyDescent="0.25">
      <c r="J1241" s="436"/>
      <c r="K1241" s="436"/>
    </row>
    <row r="1242" spans="10:11" x14ac:dyDescent="0.25">
      <c r="J1242" s="436"/>
      <c r="K1242" s="436"/>
    </row>
    <row r="1243" spans="10:11" x14ac:dyDescent="0.25">
      <c r="J1243" s="436"/>
      <c r="K1243" s="436"/>
    </row>
    <row r="1244" spans="10:11" x14ac:dyDescent="0.25">
      <c r="J1244" s="436"/>
      <c r="K1244" s="436"/>
    </row>
    <row r="1245" spans="10:11" x14ac:dyDescent="0.25">
      <c r="J1245" s="436"/>
      <c r="K1245" s="436"/>
    </row>
    <row r="1246" spans="10:11" x14ac:dyDescent="0.25">
      <c r="J1246" s="436"/>
      <c r="K1246" s="436"/>
    </row>
    <row r="1247" spans="10:11" x14ac:dyDescent="0.25">
      <c r="J1247" s="436"/>
      <c r="K1247" s="436"/>
    </row>
    <row r="1248" spans="10:11" x14ac:dyDescent="0.25">
      <c r="J1248" s="436"/>
      <c r="K1248" s="436"/>
    </row>
    <row r="1249" spans="10:11" x14ac:dyDescent="0.25">
      <c r="J1249" s="436"/>
      <c r="K1249" s="436"/>
    </row>
    <row r="1250" spans="10:11" x14ac:dyDescent="0.25">
      <c r="J1250" s="436"/>
      <c r="K1250" s="436"/>
    </row>
    <row r="1251" spans="10:11" x14ac:dyDescent="0.25">
      <c r="J1251" s="436"/>
      <c r="K1251" s="436"/>
    </row>
    <row r="1252" spans="10:11" x14ac:dyDescent="0.25">
      <c r="J1252" s="436"/>
      <c r="K1252" s="436"/>
    </row>
    <row r="1253" spans="10:11" x14ac:dyDescent="0.25">
      <c r="J1253" s="436"/>
      <c r="K1253" s="436"/>
    </row>
    <row r="1254" spans="10:11" x14ac:dyDescent="0.25">
      <c r="J1254" s="436"/>
      <c r="K1254" s="436"/>
    </row>
    <row r="1255" spans="10:11" x14ac:dyDescent="0.25">
      <c r="J1255" s="436"/>
      <c r="K1255" s="436"/>
    </row>
    <row r="1256" spans="10:11" x14ac:dyDescent="0.25">
      <c r="J1256" s="436"/>
      <c r="K1256" s="436"/>
    </row>
    <row r="1257" spans="10:11" x14ac:dyDescent="0.25">
      <c r="J1257" s="436"/>
      <c r="K1257" s="436"/>
    </row>
    <row r="1258" spans="10:11" x14ac:dyDescent="0.25">
      <c r="J1258" s="436"/>
      <c r="K1258" s="436"/>
    </row>
    <row r="1259" spans="10:11" x14ac:dyDescent="0.25">
      <c r="J1259" s="436"/>
      <c r="K1259" s="436"/>
    </row>
    <row r="1260" spans="10:11" x14ac:dyDescent="0.25">
      <c r="J1260" s="436"/>
      <c r="K1260" s="436"/>
    </row>
    <row r="1261" spans="10:11" x14ac:dyDescent="0.25">
      <c r="J1261" s="436"/>
      <c r="K1261" s="436"/>
    </row>
    <row r="1262" spans="10:11" x14ac:dyDescent="0.25">
      <c r="J1262" s="436"/>
      <c r="K1262" s="436"/>
    </row>
    <row r="1263" spans="10:11" x14ac:dyDescent="0.25">
      <c r="J1263" s="436"/>
      <c r="K1263" s="436"/>
    </row>
    <row r="1264" spans="10:11" x14ac:dyDescent="0.25">
      <c r="J1264" s="436"/>
      <c r="K1264" s="436"/>
    </row>
    <row r="1265" spans="10:11" x14ac:dyDescent="0.25">
      <c r="J1265" s="436"/>
      <c r="K1265" s="436"/>
    </row>
    <row r="1266" spans="10:11" x14ac:dyDescent="0.25">
      <c r="J1266" s="436"/>
      <c r="K1266" s="436"/>
    </row>
    <row r="1267" spans="10:11" x14ac:dyDescent="0.25">
      <c r="J1267" s="436"/>
      <c r="K1267" s="436"/>
    </row>
    <row r="1268" spans="10:11" x14ac:dyDescent="0.25">
      <c r="J1268" s="436"/>
      <c r="K1268" s="436"/>
    </row>
    <row r="1269" spans="10:11" x14ac:dyDescent="0.25">
      <c r="J1269" s="436"/>
      <c r="K1269" s="436"/>
    </row>
    <row r="1270" spans="10:11" x14ac:dyDescent="0.25">
      <c r="J1270" s="436"/>
      <c r="K1270" s="436"/>
    </row>
    <row r="1271" spans="10:11" x14ac:dyDescent="0.25">
      <c r="J1271" s="436"/>
      <c r="K1271" s="436"/>
    </row>
    <row r="1272" spans="10:11" x14ac:dyDescent="0.25">
      <c r="J1272" s="436"/>
      <c r="K1272" s="436"/>
    </row>
    <row r="1273" spans="10:11" x14ac:dyDescent="0.25">
      <c r="J1273" s="436"/>
      <c r="K1273" s="436"/>
    </row>
    <row r="1274" spans="10:11" x14ac:dyDescent="0.25">
      <c r="J1274" s="436"/>
      <c r="K1274" s="436"/>
    </row>
    <row r="1275" spans="10:11" x14ac:dyDescent="0.25">
      <c r="J1275" s="436"/>
      <c r="K1275" s="436"/>
    </row>
    <row r="1276" spans="10:11" x14ac:dyDescent="0.25">
      <c r="J1276" s="436"/>
      <c r="K1276" s="436"/>
    </row>
    <row r="1277" spans="10:11" x14ac:dyDescent="0.25">
      <c r="J1277" s="436"/>
      <c r="K1277" s="436"/>
    </row>
    <row r="1278" spans="10:11" x14ac:dyDescent="0.25">
      <c r="J1278" s="436"/>
      <c r="K1278" s="436"/>
    </row>
    <row r="1279" spans="10:11" x14ac:dyDescent="0.25">
      <c r="J1279" s="436"/>
      <c r="K1279" s="436"/>
    </row>
    <row r="1280" spans="10:11" x14ac:dyDescent="0.25">
      <c r="J1280" s="436"/>
      <c r="K1280" s="436"/>
    </row>
    <row r="1281" spans="10:11" x14ac:dyDescent="0.25">
      <c r="J1281" s="436"/>
      <c r="K1281" s="436"/>
    </row>
    <row r="1282" spans="10:11" x14ac:dyDescent="0.25">
      <c r="J1282" s="436"/>
      <c r="K1282" s="436"/>
    </row>
    <row r="1283" spans="10:11" x14ac:dyDescent="0.25">
      <c r="J1283" s="436"/>
      <c r="K1283" s="436"/>
    </row>
    <row r="1284" spans="10:11" x14ac:dyDescent="0.25">
      <c r="J1284" s="436"/>
      <c r="K1284" s="436"/>
    </row>
    <row r="1285" spans="10:11" x14ac:dyDescent="0.25">
      <c r="J1285" s="436"/>
      <c r="K1285" s="436"/>
    </row>
    <row r="1286" spans="10:11" x14ac:dyDescent="0.25">
      <c r="J1286" s="436"/>
      <c r="K1286" s="436"/>
    </row>
    <row r="1287" spans="10:11" x14ac:dyDescent="0.25">
      <c r="J1287" s="436"/>
      <c r="K1287" s="436"/>
    </row>
    <row r="1288" spans="10:11" x14ac:dyDescent="0.25">
      <c r="J1288" s="436"/>
      <c r="K1288" s="436"/>
    </row>
    <row r="1289" spans="10:11" x14ac:dyDescent="0.25">
      <c r="J1289" s="436"/>
      <c r="K1289" s="436"/>
    </row>
    <row r="1290" spans="10:11" x14ac:dyDescent="0.25">
      <c r="J1290" s="436"/>
      <c r="K1290" s="436"/>
    </row>
    <row r="1291" spans="10:11" x14ac:dyDescent="0.25">
      <c r="J1291" s="436"/>
      <c r="K1291" s="436"/>
    </row>
    <row r="1292" spans="10:11" x14ac:dyDescent="0.25">
      <c r="J1292" s="436"/>
      <c r="K1292" s="436"/>
    </row>
    <row r="1293" spans="10:11" x14ac:dyDescent="0.25">
      <c r="J1293" s="436"/>
      <c r="K1293" s="436"/>
    </row>
    <row r="1294" spans="10:11" x14ac:dyDescent="0.25">
      <c r="J1294" s="436"/>
      <c r="K1294" s="436"/>
    </row>
    <row r="1295" spans="10:11" x14ac:dyDescent="0.25">
      <c r="J1295" s="436"/>
      <c r="K1295" s="436"/>
    </row>
    <row r="1296" spans="10:11" x14ac:dyDescent="0.25">
      <c r="J1296" s="436"/>
      <c r="K1296" s="436"/>
    </row>
    <row r="1297" spans="10:11" x14ac:dyDescent="0.25">
      <c r="J1297" s="436"/>
      <c r="K1297" s="436"/>
    </row>
    <row r="1298" spans="10:11" x14ac:dyDescent="0.25">
      <c r="J1298" s="436"/>
      <c r="K1298" s="436"/>
    </row>
    <row r="1299" spans="10:11" x14ac:dyDescent="0.25">
      <c r="J1299" s="436"/>
      <c r="K1299" s="436"/>
    </row>
    <row r="1300" spans="10:11" x14ac:dyDescent="0.25">
      <c r="J1300" s="436"/>
      <c r="K1300" s="436"/>
    </row>
    <row r="1301" spans="10:11" x14ac:dyDescent="0.25">
      <c r="J1301" s="436"/>
      <c r="K1301" s="436"/>
    </row>
    <row r="1302" spans="10:11" x14ac:dyDescent="0.25">
      <c r="J1302" s="436"/>
      <c r="K1302" s="436"/>
    </row>
    <row r="1303" spans="10:11" x14ac:dyDescent="0.25">
      <c r="J1303" s="436"/>
      <c r="K1303" s="436"/>
    </row>
    <row r="1304" spans="10:11" x14ac:dyDescent="0.25">
      <c r="J1304" s="436"/>
      <c r="K1304" s="436"/>
    </row>
    <row r="1305" spans="10:11" x14ac:dyDescent="0.25">
      <c r="J1305" s="436"/>
      <c r="K1305" s="436"/>
    </row>
    <row r="1306" spans="10:11" x14ac:dyDescent="0.25">
      <c r="J1306" s="436"/>
      <c r="K1306" s="436"/>
    </row>
    <row r="1307" spans="10:11" x14ac:dyDescent="0.25">
      <c r="J1307" s="436"/>
      <c r="K1307" s="436"/>
    </row>
    <row r="1308" spans="10:11" x14ac:dyDescent="0.25">
      <c r="J1308" s="436"/>
      <c r="K1308" s="436"/>
    </row>
    <row r="1309" spans="10:11" x14ac:dyDescent="0.25">
      <c r="J1309" s="436"/>
      <c r="K1309" s="436"/>
    </row>
    <row r="1310" spans="10:11" x14ac:dyDescent="0.25">
      <c r="J1310" s="436"/>
      <c r="K1310" s="436"/>
    </row>
    <row r="1311" spans="10:11" x14ac:dyDescent="0.25">
      <c r="J1311" s="436"/>
      <c r="K1311" s="436"/>
    </row>
    <row r="1312" spans="10:11" x14ac:dyDescent="0.25">
      <c r="J1312" s="436"/>
      <c r="K1312" s="436"/>
    </row>
    <row r="1313" spans="10:11" x14ac:dyDescent="0.25">
      <c r="J1313" s="436"/>
      <c r="K1313" s="436"/>
    </row>
    <row r="1314" spans="10:11" x14ac:dyDescent="0.25">
      <c r="J1314" s="436"/>
      <c r="K1314" s="436"/>
    </row>
    <row r="1315" spans="10:11" x14ac:dyDescent="0.25">
      <c r="J1315" s="436"/>
      <c r="K1315" s="436"/>
    </row>
    <row r="1316" spans="10:11" x14ac:dyDescent="0.25">
      <c r="J1316" s="436"/>
      <c r="K1316" s="436"/>
    </row>
    <row r="1317" spans="10:11" x14ac:dyDescent="0.25">
      <c r="J1317" s="436"/>
      <c r="K1317" s="436"/>
    </row>
    <row r="1318" spans="10:11" x14ac:dyDescent="0.25">
      <c r="J1318" s="436"/>
      <c r="K1318" s="436"/>
    </row>
    <row r="1319" spans="10:11" x14ac:dyDescent="0.25">
      <c r="J1319" s="436"/>
      <c r="K1319" s="436"/>
    </row>
    <row r="1320" spans="10:11" x14ac:dyDescent="0.25">
      <c r="J1320" s="436"/>
      <c r="K1320" s="436"/>
    </row>
  </sheetData>
  <sheetProtection algorithmName="SHA-512" hashValue="gL0ZDnHKYSXbiX5Gyqf7Q8K8+wCo0A1YU/uQwfFwlOD5tSjTohh12rwLrM2V9QgVRthh9KNZMsorK8cAFgj4Jw==" saltValue="prKEOsPv6UoQyYJ+tX/Low==" spinCount="100000" sheet="1" pivotTables="0"/>
  <protectedRanges>
    <protectedRange sqref="H21:I21" name="Rango1"/>
    <protectedRange sqref="A22" name="Rango2"/>
    <protectedRange sqref="B14:B17" name="Rango3"/>
  </protectedRanges>
  <mergeCells count="52">
    <mergeCell ref="A21:G21"/>
    <mergeCell ref="A1:A2"/>
    <mergeCell ref="B1:K2"/>
    <mergeCell ref="B4:E4"/>
    <mergeCell ref="B5:C5"/>
    <mergeCell ref="B6:C6"/>
    <mergeCell ref="C7:D7"/>
    <mergeCell ref="A8:H8"/>
    <mergeCell ref="A10:H10"/>
    <mergeCell ref="A17:F17"/>
    <mergeCell ref="A19:L19"/>
    <mergeCell ref="A20:L20"/>
    <mergeCell ref="A141:B141"/>
    <mergeCell ref="A22:D22"/>
    <mergeCell ref="E22:I22"/>
    <mergeCell ref="A123:B123"/>
    <mergeCell ref="A124:B124"/>
    <mergeCell ref="A125:B125"/>
    <mergeCell ref="A127:L127"/>
    <mergeCell ref="A129:L129"/>
    <mergeCell ref="A132:F132"/>
    <mergeCell ref="G132:L132"/>
    <mergeCell ref="A139:K139"/>
    <mergeCell ref="A140:B140"/>
    <mergeCell ref="A160:F160"/>
    <mergeCell ref="A142:B142"/>
    <mergeCell ref="A144:B144"/>
    <mergeCell ref="A146:G146"/>
    <mergeCell ref="D148:I148"/>
    <mergeCell ref="D152:I152"/>
    <mergeCell ref="A155:F155"/>
    <mergeCell ref="G155:J155"/>
    <mergeCell ref="A156:F156"/>
    <mergeCell ref="G156:H156"/>
    <mergeCell ref="A157:F157"/>
    <mergeCell ref="A158:F158"/>
    <mergeCell ref="A159:F159"/>
    <mergeCell ref="A176:E176"/>
    <mergeCell ref="F176:G176"/>
    <mergeCell ref="H176:J176"/>
    <mergeCell ref="K176:M176"/>
    <mergeCell ref="G161:J161"/>
    <mergeCell ref="A163:E164"/>
    <mergeCell ref="A165:H165"/>
    <mergeCell ref="A168:M170"/>
    <mergeCell ref="A171:J171"/>
    <mergeCell ref="K171:M171"/>
    <mergeCell ref="A172:M172"/>
    <mergeCell ref="A173:E174"/>
    <mergeCell ref="F173:J174"/>
    <mergeCell ref="K173:M174"/>
    <mergeCell ref="A175:M175"/>
  </mergeCells>
  <conditionalFormatting sqref="A1:B1">
    <cfRule type="cellIs" dxfId="167" priority="1" operator="equal">
      <formula>"ERROR"</formula>
    </cfRule>
  </conditionalFormatting>
  <conditionalFormatting sqref="H164">
    <cfRule type="expression" dxfId="166" priority="7">
      <formula>$H$164="EFICAZ"</formula>
    </cfRule>
    <cfRule type="expression" dxfId="165" priority="8">
      <formula>$H$164="INEFICAZ"</formula>
    </cfRule>
  </conditionalFormatting>
  <conditionalFormatting sqref="J80:K80">
    <cfRule type="expression" dxfId="164" priority="9">
      <formula>$J$80="NO"</formula>
    </cfRule>
    <cfRule type="expression" dxfId="163" priority="10">
      <formula>$J$80="SI"</formula>
    </cfRule>
  </conditionalFormatting>
  <conditionalFormatting sqref="L1:L2">
    <cfRule type="cellIs" dxfId="162" priority="2" operator="equal">
      <formula>"INEXISTENTE"</formula>
    </cfRule>
    <cfRule type="cellIs" dxfId="161" priority="3" operator="equal">
      <formula>"INADECUADO"</formula>
    </cfRule>
    <cfRule type="cellIs" dxfId="160" priority="4" operator="equal">
      <formula>"PARCIALMENTE ADECUADO"</formula>
    </cfRule>
    <cfRule type="cellIs" dxfId="159" priority="5" operator="equal">
      <formula>"ADECUADO"</formula>
    </cfRule>
    <cfRule type="cellIs" dxfId="158" priority="6" operator="equal">
      <formula>"ERROR"</formula>
    </cfRule>
  </conditionalFormatting>
  <dataValidations count="3">
    <dataValidation type="list" allowBlank="1" showInputMessage="1" showErrorMessage="1" sqref="K24:K78 WVS983135:WVS983173 WLW983135:WLW983173 WCA983135:WCA983173 VSE983135:VSE983173 VII983135:VII983173 UYM983135:UYM983173 UOQ983135:UOQ983173 UEU983135:UEU983173 TUY983135:TUY983173 TLC983135:TLC983173 TBG983135:TBG983173 SRK983135:SRK983173 SHO983135:SHO983173 RXS983135:RXS983173 RNW983135:RNW983173 REA983135:REA983173 QUE983135:QUE983173 QKI983135:QKI983173 QAM983135:QAM983173 PQQ983135:PQQ983173 PGU983135:PGU983173 OWY983135:OWY983173 ONC983135:ONC983173 ODG983135:ODG983173 NTK983135:NTK983173 NJO983135:NJO983173 MZS983135:MZS983173 MPW983135:MPW983173 MGA983135:MGA983173 LWE983135:LWE983173 LMI983135:LMI983173 LCM983135:LCM983173 KSQ983135:KSQ983173 KIU983135:KIU983173 JYY983135:JYY983173 JPC983135:JPC983173 JFG983135:JFG983173 IVK983135:IVK983173 ILO983135:ILO983173 IBS983135:IBS983173 HRW983135:HRW983173 HIA983135:HIA983173 GYE983135:GYE983173 GOI983135:GOI983173 GEM983135:GEM983173 FUQ983135:FUQ983173 FKU983135:FKU983173 FAY983135:FAY983173 ERC983135:ERC983173 EHG983135:EHG983173 DXK983135:DXK983173 DNO983135:DNO983173 DDS983135:DDS983173 CTW983135:CTW983173 CKA983135:CKA983173 CAE983135:CAE983173 BQI983135:BQI983173 BGM983135:BGM983173 AWQ983135:AWQ983173 AMU983135:AMU983173 ACY983135:ACY983173 TC983135:TC983173 JG983135:JG983173 K983135:K983173 WVS917599:WVS917637 WLW917599:WLW917637 WCA917599:WCA917637 VSE917599:VSE917637 VII917599:VII917637 UYM917599:UYM917637 UOQ917599:UOQ917637 UEU917599:UEU917637 TUY917599:TUY917637 TLC917599:TLC917637 TBG917599:TBG917637 SRK917599:SRK917637 SHO917599:SHO917637 RXS917599:RXS917637 RNW917599:RNW917637 REA917599:REA917637 QUE917599:QUE917637 QKI917599:QKI917637 QAM917599:QAM917637 PQQ917599:PQQ917637 PGU917599:PGU917637 OWY917599:OWY917637 ONC917599:ONC917637 ODG917599:ODG917637 NTK917599:NTK917637 NJO917599:NJO917637 MZS917599:MZS917637 MPW917599:MPW917637 MGA917599:MGA917637 LWE917599:LWE917637 LMI917599:LMI917637 LCM917599:LCM917637 KSQ917599:KSQ917637 KIU917599:KIU917637 JYY917599:JYY917637 JPC917599:JPC917637 JFG917599:JFG917637 IVK917599:IVK917637 ILO917599:ILO917637 IBS917599:IBS917637 HRW917599:HRW917637 HIA917599:HIA917637 GYE917599:GYE917637 GOI917599:GOI917637 GEM917599:GEM917637 FUQ917599:FUQ917637 FKU917599:FKU917637 FAY917599:FAY917637 ERC917599:ERC917637 EHG917599:EHG917637 DXK917599:DXK917637 DNO917599:DNO917637 DDS917599:DDS917637 CTW917599:CTW917637 CKA917599:CKA917637 CAE917599:CAE917637 BQI917599:BQI917637 BGM917599:BGM917637 AWQ917599:AWQ917637 AMU917599:AMU917637 ACY917599:ACY917637 TC917599:TC917637 JG917599:JG917637 K917599:K917637 WVS852063:WVS852101 WLW852063:WLW852101 WCA852063:WCA852101 VSE852063:VSE852101 VII852063:VII852101 UYM852063:UYM852101 UOQ852063:UOQ852101 UEU852063:UEU852101 TUY852063:TUY852101 TLC852063:TLC852101 TBG852063:TBG852101 SRK852063:SRK852101 SHO852063:SHO852101 RXS852063:RXS852101 RNW852063:RNW852101 REA852063:REA852101 QUE852063:QUE852101 QKI852063:QKI852101 QAM852063:QAM852101 PQQ852063:PQQ852101 PGU852063:PGU852101 OWY852063:OWY852101 ONC852063:ONC852101 ODG852063:ODG852101 NTK852063:NTK852101 NJO852063:NJO852101 MZS852063:MZS852101 MPW852063:MPW852101 MGA852063:MGA852101 LWE852063:LWE852101 LMI852063:LMI852101 LCM852063:LCM852101 KSQ852063:KSQ852101 KIU852063:KIU852101 JYY852063:JYY852101 JPC852063:JPC852101 JFG852063:JFG852101 IVK852063:IVK852101 ILO852063:ILO852101 IBS852063:IBS852101 HRW852063:HRW852101 HIA852063:HIA852101 GYE852063:GYE852101 GOI852063:GOI852101 GEM852063:GEM852101 FUQ852063:FUQ852101 FKU852063:FKU852101 FAY852063:FAY852101 ERC852063:ERC852101 EHG852063:EHG852101 DXK852063:DXK852101 DNO852063:DNO852101 DDS852063:DDS852101 CTW852063:CTW852101 CKA852063:CKA852101 CAE852063:CAE852101 BQI852063:BQI852101 BGM852063:BGM852101 AWQ852063:AWQ852101 AMU852063:AMU852101 ACY852063:ACY852101 TC852063:TC852101 JG852063:JG852101 K852063:K852101 WVS786527:WVS786565 WLW786527:WLW786565 WCA786527:WCA786565 VSE786527:VSE786565 VII786527:VII786565 UYM786527:UYM786565 UOQ786527:UOQ786565 UEU786527:UEU786565 TUY786527:TUY786565 TLC786527:TLC786565 TBG786527:TBG786565 SRK786527:SRK786565 SHO786527:SHO786565 RXS786527:RXS786565 RNW786527:RNW786565 REA786527:REA786565 QUE786527:QUE786565 QKI786527:QKI786565 QAM786527:QAM786565 PQQ786527:PQQ786565 PGU786527:PGU786565 OWY786527:OWY786565 ONC786527:ONC786565 ODG786527:ODG786565 NTK786527:NTK786565 NJO786527:NJO786565 MZS786527:MZS786565 MPW786527:MPW786565 MGA786527:MGA786565 LWE786527:LWE786565 LMI786527:LMI786565 LCM786527:LCM786565 KSQ786527:KSQ786565 KIU786527:KIU786565 JYY786527:JYY786565 JPC786527:JPC786565 JFG786527:JFG786565 IVK786527:IVK786565 ILO786527:ILO786565 IBS786527:IBS786565 HRW786527:HRW786565 HIA786527:HIA786565 GYE786527:GYE786565 GOI786527:GOI786565 GEM786527:GEM786565 FUQ786527:FUQ786565 FKU786527:FKU786565 FAY786527:FAY786565 ERC786527:ERC786565 EHG786527:EHG786565 DXK786527:DXK786565 DNO786527:DNO786565 DDS786527:DDS786565 CTW786527:CTW786565 CKA786527:CKA786565 CAE786527:CAE786565 BQI786527:BQI786565 BGM786527:BGM786565 AWQ786527:AWQ786565 AMU786527:AMU786565 ACY786527:ACY786565 TC786527:TC786565 JG786527:JG786565 K786527:K786565 WVS720991:WVS721029 WLW720991:WLW721029 WCA720991:WCA721029 VSE720991:VSE721029 VII720991:VII721029 UYM720991:UYM721029 UOQ720991:UOQ721029 UEU720991:UEU721029 TUY720991:TUY721029 TLC720991:TLC721029 TBG720991:TBG721029 SRK720991:SRK721029 SHO720991:SHO721029 RXS720991:RXS721029 RNW720991:RNW721029 REA720991:REA721029 QUE720991:QUE721029 QKI720991:QKI721029 QAM720991:QAM721029 PQQ720991:PQQ721029 PGU720991:PGU721029 OWY720991:OWY721029 ONC720991:ONC721029 ODG720991:ODG721029 NTK720991:NTK721029 NJO720991:NJO721029 MZS720991:MZS721029 MPW720991:MPW721029 MGA720991:MGA721029 LWE720991:LWE721029 LMI720991:LMI721029 LCM720991:LCM721029 KSQ720991:KSQ721029 KIU720991:KIU721029 JYY720991:JYY721029 JPC720991:JPC721029 JFG720991:JFG721029 IVK720991:IVK721029 ILO720991:ILO721029 IBS720991:IBS721029 HRW720991:HRW721029 HIA720991:HIA721029 GYE720991:GYE721029 GOI720991:GOI721029 GEM720991:GEM721029 FUQ720991:FUQ721029 FKU720991:FKU721029 FAY720991:FAY721029 ERC720991:ERC721029 EHG720991:EHG721029 DXK720991:DXK721029 DNO720991:DNO721029 DDS720991:DDS721029 CTW720991:CTW721029 CKA720991:CKA721029 CAE720991:CAE721029 BQI720991:BQI721029 BGM720991:BGM721029 AWQ720991:AWQ721029 AMU720991:AMU721029 ACY720991:ACY721029 TC720991:TC721029 JG720991:JG721029 K720991:K721029 WVS655455:WVS655493 WLW655455:WLW655493 WCA655455:WCA655493 VSE655455:VSE655493 VII655455:VII655493 UYM655455:UYM655493 UOQ655455:UOQ655493 UEU655455:UEU655493 TUY655455:TUY655493 TLC655455:TLC655493 TBG655455:TBG655493 SRK655455:SRK655493 SHO655455:SHO655493 RXS655455:RXS655493 RNW655455:RNW655493 REA655455:REA655493 QUE655455:QUE655493 QKI655455:QKI655493 QAM655455:QAM655493 PQQ655455:PQQ655493 PGU655455:PGU655493 OWY655455:OWY655493 ONC655455:ONC655493 ODG655455:ODG655493 NTK655455:NTK655493 NJO655455:NJO655493 MZS655455:MZS655493 MPW655455:MPW655493 MGA655455:MGA655493 LWE655455:LWE655493 LMI655455:LMI655493 LCM655455:LCM655493 KSQ655455:KSQ655493 KIU655455:KIU655493 JYY655455:JYY655493 JPC655455:JPC655493 JFG655455:JFG655493 IVK655455:IVK655493 ILO655455:ILO655493 IBS655455:IBS655493 HRW655455:HRW655493 HIA655455:HIA655493 GYE655455:GYE655493 GOI655455:GOI655493 GEM655455:GEM655493 FUQ655455:FUQ655493 FKU655455:FKU655493 FAY655455:FAY655493 ERC655455:ERC655493 EHG655455:EHG655493 DXK655455:DXK655493 DNO655455:DNO655493 DDS655455:DDS655493 CTW655455:CTW655493 CKA655455:CKA655493 CAE655455:CAE655493 BQI655455:BQI655493 BGM655455:BGM655493 AWQ655455:AWQ655493 AMU655455:AMU655493 ACY655455:ACY655493 TC655455:TC655493 JG655455:JG655493 K655455:K655493 WVS589919:WVS589957 WLW589919:WLW589957 WCA589919:WCA589957 VSE589919:VSE589957 VII589919:VII589957 UYM589919:UYM589957 UOQ589919:UOQ589957 UEU589919:UEU589957 TUY589919:TUY589957 TLC589919:TLC589957 TBG589919:TBG589957 SRK589919:SRK589957 SHO589919:SHO589957 RXS589919:RXS589957 RNW589919:RNW589957 REA589919:REA589957 QUE589919:QUE589957 QKI589919:QKI589957 QAM589919:QAM589957 PQQ589919:PQQ589957 PGU589919:PGU589957 OWY589919:OWY589957 ONC589919:ONC589957 ODG589919:ODG589957 NTK589919:NTK589957 NJO589919:NJO589957 MZS589919:MZS589957 MPW589919:MPW589957 MGA589919:MGA589957 LWE589919:LWE589957 LMI589919:LMI589957 LCM589919:LCM589957 KSQ589919:KSQ589957 KIU589919:KIU589957 JYY589919:JYY589957 JPC589919:JPC589957 JFG589919:JFG589957 IVK589919:IVK589957 ILO589919:ILO589957 IBS589919:IBS589957 HRW589919:HRW589957 HIA589919:HIA589957 GYE589919:GYE589957 GOI589919:GOI589957 GEM589919:GEM589957 FUQ589919:FUQ589957 FKU589919:FKU589957 FAY589919:FAY589957 ERC589919:ERC589957 EHG589919:EHG589957 DXK589919:DXK589957 DNO589919:DNO589957 DDS589919:DDS589957 CTW589919:CTW589957 CKA589919:CKA589957 CAE589919:CAE589957 BQI589919:BQI589957 BGM589919:BGM589957 AWQ589919:AWQ589957 AMU589919:AMU589957 ACY589919:ACY589957 TC589919:TC589957 JG589919:JG589957 K589919:K589957 WVS524383:WVS524421 WLW524383:WLW524421 WCA524383:WCA524421 VSE524383:VSE524421 VII524383:VII524421 UYM524383:UYM524421 UOQ524383:UOQ524421 UEU524383:UEU524421 TUY524383:TUY524421 TLC524383:TLC524421 TBG524383:TBG524421 SRK524383:SRK524421 SHO524383:SHO524421 RXS524383:RXS524421 RNW524383:RNW524421 REA524383:REA524421 QUE524383:QUE524421 QKI524383:QKI524421 QAM524383:QAM524421 PQQ524383:PQQ524421 PGU524383:PGU524421 OWY524383:OWY524421 ONC524383:ONC524421 ODG524383:ODG524421 NTK524383:NTK524421 NJO524383:NJO524421 MZS524383:MZS524421 MPW524383:MPW524421 MGA524383:MGA524421 LWE524383:LWE524421 LMI524383:LMI524421 LCM524383:LCM524421 KSQ524383:KSQ524421 KIU524383:KIU524421 JYY524383:JYY524421 JPC524383:JPC524421 JFG524383:JFG524421 IVK524383:IVK524421 ILO524383:ILO524421 IBS524383:IBS524421 HRW524383:HRW524421 HIA524383:HIA524421 GYE524383:GYE524421 GOI524383:GOI524421 GEM524383:GEM524421 FUQ524383:FUQ524421 FKU524383:FKU524421 FAY524383:FAY524421 ERC524383:ERC524421 EHG524383:EHG524421 DXK524383:DXK524421 DNO524383:DNO524421 DDS524383:DDS524421 CTW524383:CTW524421 CKA524383:CKA524421 CAE524383:CAE524421 BQI524383:BQI524421 BGM524383:BGM524421 AWQ524383:AWQ524421 AMU524383:AMU524421 ACY524383:ACY524421 TC524383:TC524421 JG524383:JG524421 K524383:K524421 WVS458847:WVS458885 WLW458847:WLW458885 WCA458847:WCA458885 VSE458847:VSE458885 VII458847:VII458885 UYM458847:UYM458885 UOQ458847:UOQ458885 UEU458847:UEU458885 TUY458847:TUY458885 TLC458847:TLC458885 TBG458847:TBG458885 SRK458847:SRK458885 SHO458847:SHO458885 RXS458847:RXS458885 RNW458847:RNW458885 REA458847:REA458885 QUE458847:QUE458885 QKI458847:QKI458885 QAM458847:QAM458885 PQQ458847:PQQ458885 PGU458847:PGU458885 OWY458847:OWY458885 ONC458847:ONC458885 ODG458847:ODG458885 NTK458847:NTK458885 NJO458847:NJO458885 MZS458847:MZS458885 MPW458847:MPW458885 MGA458847:MGA458885 LWE458847:LWE458885 LMI458847:LMI458885 LCM458847:LCM458885 KSQ458847:KSQ458885 KIU458847:KIU458885 JYY458847:JYY458885 JPC458847:JPC458885 JFG458847:JFG458885 IVK458847:IVK458885 ILO458847:ILO458885 IBS458847:IBS458885 HRW458847:HRW458885 HIA458847:HIA458885 GYE458847:GYE458885 GOI458847:GOI458885 GEM458847:GEM458885 FUQ458847:FUQ458885 FKU458847:FKU458885 FAY458847:FAY458885 ERC458847:ERC458885 EHG458847:EHG458885 DXK458847:DXK458885 DNO458847:DNO458885 DDS458847:DDS458885 CTW458847:CTW458885 CKA458847:CKA458885 CAE458847:CAE458885 BQI458847:BQI458885 BGM458847:BGM458885 AWQ458847:AWQ458885 AMU458847:AMU458885 ACY458847:ACY458885 TC458847:TC458885 JG458847:JG458885 K458847:K458885 WVS393311:WVS393349 WLW393311:WLW393349 WCA393311:WCA393349 VSE393311:VSE393349 VII393311:VII393349 UYM393311:UYM393349 UOQ393311:UOQ393349 UEU393311:UEU393349 TUY393311:TUY393349 TLC393311:TLC393349 TBG393311:TBG393349 SRK393311:SRK393349 SHO393311:SHO393349 RXS393311:RXS393349 RNW393311:RNW393349 REA393311:REA393349 QUE393311:QUE393349 QKI393311:QKI393349 QAM393311:QAM393349 PQQ393311:PQQ393349 PGU393311:PGU393349 OWY393311:OWY393349 ONC393311:ONC393349 ODG393311:ODG393349 NTK393311:NTK393349 NJO393311:NJO393349 MZS393311:MZS393349 MPW393311:MPW393349 MGA393311:MGA393349 LWE393311:LWE393349 LMI393311:LMI393349 LCM393311:LCM393349 KSQ393311:KSQ393349 KIU393311:KIU393349 JYY393311:JYY393349 JPC393311:JPC393349 JFG393311:JFG393349 IVK393311:IVK393349 ILO393311:ILO393349 IBS393311:IBS393349 HRW393311:HRW393349 HIA393311:HIA393349 GYE393311:GYE393349 GOI393311:GOI393349 GEM393311:GEM393349 FUQ393311:FUQ393349 FKU393311:FKU393349 FAY393311:FAY393349 ERC393311:ERC393349 EHG393311:EHG393349 DXK393311:DXK393349 DNO393311:DNO393349 DDS393311:DDS393349 CTW393311:CTW393349 CKA393311:CKA393349 CAE393311:CAE393349 BQI393311:BQI393349 BGM393311:BGM393349 AWQ393311:AWQ393349 AMU393311:AMU393349 ACY393311:ACY393349 TC393311:TC393349 JG393311:JG393349 K393311:K393349 WVS327775:WVS327813 WLW327775:WLW327813 WCA327775:WCA327813 VSE327775:VSE327813 VII327775:VII327813 UYM327775:UYM327813 UOQ327775:UOQ327813 UEU327775:UEU327813 TUY327775:TUY327813 TLC327775:TLC327813 TBG327775:TBG327813 SRK327775:SRK327813 SHO327775:SHO327813 RXS327775:RXS327813 RNW327775:RNW327813 REA327775:REA327813 QUE327775:QUE327813 QKI327775:QKI327813 QAM327775:QAM327813 PQQ327775:PQQ327813 PGU327775:PGU327813 OWY327775:OWY327813 ONC327775:ONC327813 ODG327775:ODG327813 NTK327775:NTK327813 NJO327775:NJO327813 MZS327775:MZS327813 MPW327775:MPW327813 MGA327775:MGA327813 LWE327775:LWE327813 LMI327775:LMI327813 LCM327775:LCM327813 KSQ327775:KSQ327813 KIU327775:KIU327813 JYY327775:JYY327813 JPC327775:JPC327813 JFG327775:JFG327813 IVK327775:IVK327813 ILO327775:ILO327813 IBS327775:IBS327813 HRW327775:HRW327813 HIA327775:HIA327813 GYE327775:GYE327813 GOI327775:GOI327813 GEM327775:GEM327813 FUQ327775:FUQ327813 FKU327775:FKU327813 FAY327775:FAY327813 ERC327775:ERC327813 EHG327775:EHG327813 DXK327775:DXK327813 DNO327775:DNO327813 DDS327775:DDS327813 CTW327775:CTW327813 CKA327775:CKA327813 CAE327775:CAE327813 BQI327775:BQI327813 BGM327775:BGM327813 AWQ327775:AWQ327813 AMU327775:AMU327813 ACY327775:ACY327813 TC327775:TC327813 JG327775:JG327813 K327775:K327813 WVS262239:WVS262277 WLW262239:WLW262277 WCA262239:WCA262277 VSE262239:VSE262277 VII262239:VII262277 UYM262239:UYM262277 UOQ262239:UOQ262277 UEU262239:UEU262277 TUY262239:TUY262277 TLC262239:TLC262277 TBG262239:TBG262277 SRK262239:SRK262277 SHO262239:SHO262277 RXS262239:RXS262277 RNW262239:RNW262277 REA262239:REA262277 QUE262239:QUE262277 QKI262239:QKI262277 QAM262239:QAM262277 PQQ262239:PQQ262277 PGU262239:PGU262277 OWY262239:OWY262277 ONC262239:ONC262277 ODG262239:ODG262277 NTK262239:NTK262277 NJO262239:NJO262277 MZS262239:MZS262277 MPW262239:MPW262277 MGA262239:MGA262277 LWE262239:LWE262277 LMI262239:LMI262277 LCM262239:LCM262277 KSQ262239:KSQ262277 KIU262239:KIU262277 JYY262239:JYY262277 JPC262239:JPC262277 JFG262239:JFG262277 IVK262239:IVK262277 ILO262239:ILO262277 IBS262239:IBS262277 HRW262239:HRW262277 HIA262239:HIA262277 GYE262239:GYE262277 GOI262239:GOI262277 GEM262239:GEM262277 FUQ262239:FUQ262277 FKU262239:FKU262277 FAY262239:FAY262277 ERC262239:ERC262277 EHG262239:EHG262277 DXK262239:DXK262277 DNO262239:DNO262277 DDS262239:DDS262277 CTW262239:CTW262277 CKA262239:CKA262277 CAE262239:CAE262277 BQI262239:BQI262277 BGM262239:BGM262277 AWQ262239:AWQ262277 AMU262239:AMU262277 ACY262239:ACY262277 TC262239:TC262277 JG262239:JG262277 K262239:K262277 WVS196703:WVS196741 WLW196703:WLW196741 WCA196703:WCA196741 VSE196703:VSE196741 VII196703:VII196741 UYM196703:UYM196741 UOQ196703:UOQ196741 UEU196703:UEU196741 TUY196703:TUY196741 TLC196703:TLC196741 TBG196703:TBG196741 SRK196703:SRK196741 SHO196703:SHO196741 RXS196703:RXS196741 RNW196703:RNW196741 REA196703:REA196741 QUE196703:QUE196741 QKI196703:QKI196741 QAM196703:QAM196741 PQQ196703:PQQ196741 PGU196703:PGU196741 OWY196703:OWY196741 ONC196703:ONC196741 ODG196703:ODG196741 NTK196703:NTK196741 NJO196703:NJO196741 MZS196703:MZS196741 MPW196703:MPW196741 MGA196703:MGA196741 LWE196703:LWE196741 LMI196703:LMI196741 LCM196703:LCM196741 KSQ196703:KSQ196741 KIU196703:KIU196741 JYY196703:JYY196741 JPC196703:JPC196741 JFG196703:JFG196741 IVK196703:IVK196741 ILO196703:ILO196741 IBS196703:IBS196741 HRW196703:HRW196741 HIA196703:HIA196741 GYE196703:GYE196741 GOI196703:GOI196741 GEM196703:GEM196741 FUQ196703:FUQ196741 FKU196703:FKU196741 FAY196703:FAY196741 ERC196703:ERC196741 EHG196703:EHG196741 DXK196703:DXK196741 DNO196703:DNO196741 DDS196703:DDS196741 CTW196703:CTW196741 CKA196703:CKA196741 CAE196703:CAE196741 BQI196703:BQI196741 BGM196703:BGM196741 AWQ196703:AWQ196741 AMU196703:AMU196741 ACY196703:ACY196741 TC196703:TC196741 JG196703:JG196741 K196703:K196741 WVS131167:WVS131205 WLW131167:WLW131205 WCA131167:WCA131205 VSE131167:VSE131205 VII131167:VII131205 UYM131167:UYM131205 UOQ131167:UOQ131205 UEU131167:UEU131205 TUY131167:TUY131205 TLC131167:TLC131205 TBG131167:TBG131205 SRK131167:SRK131205 SHO131167:SHO131205 RXS131167:RXS131205 RNW131167:RNW131205 REA131167:REA131205 QUE131167:QUE131205 QKI131167:QKI131205 QAM131167:QAM131205 PQQ131167:PQQ131205 PGU131167:PGU131205 OWY131167:OWY131205 ONC131167:ONC131205 ODG131167:ODG131205 NTK131167:NTK131205 NJO131167:NJO131205 MZS131167:MZS131205 MPW131167:MPW131205 MGA131167:MGA131205 LWE131167:LWE131205 LMI131167:LMI131205 LCM131167:LCM131205 KSQ131167:KSQ131205 KIU131167:KIU131205 JYY131167:JYY131205 JPC131167:JPC131205 JFG131167:JFG131205 IVK131167:IVK131205 ILO131167:ILO131205 IBS131167:IBS131205 HRW131167:HRW131205 HIA131167:HIA131205 GYE131167:GYE131205 GOI131167:GOI131205 GEM131167:GEM131205 FUQ131167:FUQ131205 FKU131167:FKU131205 FAY131167:FAY131205 ERC131167:ERC131205 EHG131167:EHG131205 DXK131167:DXK131205 DNO131167:DNO131205 DDS131167:DDS131205 CTW131167:CTW131205 CKA131167:CKA131205 CAE131167:CAE131205 BQI131167:BQI131205 BGM131167:BGM131205 AWQ131167:AWQ131205 AMU131167:AMU131205 ACY131167:ACY131205 TC131167:TC131205 JG131167:JG131205 K131167:K131205 WVS65631:WVS65669 WLW65631:WLW65669 WCA65631:WCA65669 VSE65631:VSE65669 VII65631:VII65669 UYM65631:UYM65669 UOQ65631:UOQ65669 UEU65631:UEU65669 TUY65631:TUY65669 TLC65631:TLC65669 TBG65631:TBG65669 SRK65631:SRK65669 SHO65631:SHO65669 RXS65631:RXS65669 RNW65631:RNW65669 REA65631:REA65669 QUE65631:QUE65669 QKI65631:QKI65669 QAM65631:QAM65669 PQQ65631:PQQ65669 PGU65631:PGU65669 OWY65631:OWY65669 ONC65631:ONC65669 ODG65631:ODG65669 NTK65631:NTK65669 NJO65631:NJO65669 MZS65631:MZS65669 MPW65631:MPW65669 MGA65631:MGA65669 LWE65631:LWE65669 LMI65631:LMI65669 LCM65631:LCM65669 KSQ65631:KSQ65669 KIU65631:KIU65669 JYY65631:JYY65669 JPC65631:JPC65669 JFG65631:JFG65669 IVK65631:IVK65669 ILO65631:ILO65669 IBS65631:IBS65669 HRW65631:HRW65669 HIA65631:HIA65669 GYE65631:GYE65669 GOI65631:GOI65669 GEM65631:GEM65669 FUQ65631:FUQ65669 FKU65631:FKU65669 FAY65631:FAY65669 ERC65631:ERC65669 EHG65631:EHG65669 DXK65631:DXK65669 DNO65631:DNO65669 DDS65631:DDS65669 CTW65631:CTW65669 CKA65631:CKA65669 CAE65631:CAE65669 BQI65631:BQI65669 BGM65631:BGM65669 AWQ65631:AWQ65669 AMU65631:AMU65669 ACY65631:ACY65669 TC65631:TC65669 JG65631:JG65669 K65631:K65669 WVS83:WVS121 WLW83:WLW121 WCA83:WCA121 VSE83:VSE121 VII83:VII121 UYM83:UYM121 UOQ83:UOQ121 UEU83:UEU121 TUY83:TUY121 TLC83:TLC121 TBG83:TBG121 SRK83:SRK121 SHO83:SHO121 RXS83:RXS121 RNW83:RNW121 REA83:REA121 QUE83:QUE121 QKI83:QKI121 QAM83:QAM121 PQQ83:PQQ121 PGU83:PGU121 OWY83:OWY121 ONC83:ONC121 ODG83:ODG121 NTK83:NTK121 NJO83:NJO121 MZS83:MZS121 MPW83:MPW121 MGA83:MGA121 LWE83:LWE121 LMI83:LMI121 LCM83:LCM121 KSQ83:KSQ121 KIU83:KIU121 JYY83:JYY121 JPC83:JPC121 JFG83:JFG121 IVK83:IVK121 ILO83:ILO121 IBS83:IBS121 HRW83:HRW121 HIA83:HIA121 GYE83:GYE121 GOI83:GOI121 GEM83:GEM121 FUQ83:FUQ121 FKU83:FKU121 FAY83:FAY121 ERC83:ERC121 EHG83:EHG121 DXK83:DXK121 DNO83:DNO121 DDS83:DDS121 CTW83:CTW121 CKA83:CKA121 CAE83:CAE121 BQI83:BQI121 BGM83:BGM121 AWQ83:AWQ121 AMU83:AMU121 ACY83:ACY121 TC83:TC121 JG83:JG121 K83:K121 WVS983077:WVS983130 WLW983077:WLW983130 WCA983077:WCA983130 VSE983077:VSE983130 VII983077:VII983130 UYM983077:UYM983130 UOQ983077:UOQ983130 UEU983077:UEU983130 TUY983077:TUY983130 TLC983077:TLC983130 TBG983077:TBG983130 SRK983077:SRK983130 SHO983077:SHO983130 RXS983077:RXS983130 RNW983077:RNW983130 REA983077:REA983130 QUE983077:QUE983130 QKI983077:QKI983130 QAM983077:QAM983130 PQQ983077:PQQ983130 PGU983077:PGU983130 OWY983077:OWY983130 ONC983077:ONC983130 ODG983077:ODG983130 NTK983077:NTK983130 NJO983077:NJO983130 MZS983077:MZS983130 MPW983077:MPW983130 MGA983077:MGA983130 LWE983077:LWE983130 LMI983077:LMI983130 LCM983077:LCM983130 KSQ983077:KSQ983130 KIU983077:KIU983130 JYY983077:JYY983130 JPC983077:JPC983130 JFG983077:JFG983130 IVK983077:IVK983130 ILO983077:ILO983130 IBS983077:IBS983130 HRW983077:HRW983130 HIA983077:HIA983130 GYE983077:GYE983130 GOI983077:GOI983130 GEM983077:GEM983130 FUQ983077:FUQ983130 FKU983077:FKU983130 FAY983077:FAY983130 ERC983077:ERC983130 EHG983077:EHG983130 DXK983077:DXK983130 DNO983077:DNO983130 DDS983077:DDS983130 CTW983077:CTW983130 CKA983077:CKA983130 CAE983077:CAE983130 BQI983077:BQI983130 BGM983077:BGM983130 AWQ983077:AWQ983130 AMU983077:AMU983130 ACY983077:ACY983130 TC983077:TC983130 JG983077:JG983130 K983077:K983130 WVS917541:WVS917594 WLW917541:WLW917594 WCA917541:WCA917594 VSE917541:VSE917594 VII917541:VII917594 UYM917541:UYM917594 UOQ917541:UOQ917594 UEU917541:UEU917594 TUY917541:TUY917594 TLC917541:TLC917594 TBG917541:TBG917594 SRK917541:SRK917594 SHO917541:SHO917594 RXS917541:RXS917594 RNW917541:RNW917594 REA917541:REA917594 QUE917541:QUE917594 QKI917541:QKI917594 QAM917541:QAM917594 PQQ917541:PQQ917594 PGU917541:PGU917594 OWY917541:OWY917594 ONC917541:ONC917594 ODG917541:ODG917594 NTK917541:NTK917594 NJO917541:NJO917594 MZS917541:MZS917594 MPW917541:MPW917594 MGA917541:MGA917594 LWE917541:LWE917594 LMI917541:LMI917594 LCM917541:LCM917594 KSQ917541:KSQ917594 KIU917541:KIU917594 JYY917541:JYY917594 JPC917541:JPC917594 JFG917541:JFG917594 IVK917541:IVK917594 ILO917541:ILO917594 IBS917541:IBS917594 HRW917541:HRW917594 HIA917541:HIA917594 GYE917541:GYE917594 GOI917541:GOI917594 GEM917541:GEM917594 FUQ917541:FUQ917594 FKU917541:FKU917594 FAY917541:FAY917594 ERC917541:ERC917594 EHG917541:EHG917594 DXK917541:DXK917594 DNO917541:DNO917594 DDS917541:DDS917594 CTW917541:CTW917594 CKA917541:CKA917594 CAE917541:CAE917594 BQI917541:BQI917594 BGM917541:BGM917594 AWQ917541:AWQ917594 AMU917541:AMU917594 ACY917541:ACY917594 TC917541:TC917594 JG917541:JG917594 K917541:K917594 WVS852005:WVS852058 WLW852005:WLW852058 WCA852005:WCA852058 VSE852005:VSE852058 VII852005:VII852058 UYM852005:UYM852058 UOQ852005:UOQ852058 UEU852005:UEU852058 TUY852005:TUY852058 TLC852005:TLC852058 TBG852005:TBG852058 SRK852005:SRK852058 SHO852005:SHO852058 RXS852005:RXS852058 RNW852005:RNW852058 REA852005:REA852058 QUE852005:QUE852058 QKI852005:QKI852058 QAM852005:QAM852058 PQQ852005:PQQ852058 PGU852005:PGU852058 OWY852005:OWY852058 ONC852005:ONC852058 ODG852005:ODG852058 NTK852005:NTK852058 NJO852005:NJO852058 MZS852005:MZS852058 MPW852005:MPW852058 MGA852005:MGA852058 LWE852005:LWE852058 LMI852005:LMI852058 LCM852005:LCM852058 KSQ852005:KSQ852058 KIU852005:KIU852058 JYY852005:JYY852058 JPC852005:JPC852058 JFG852005:JFG852058 IVK852005:IVK852058 ILO852005:ILO852058 IBS852005:IBS852058 HRW852005:HRW852058 HIA852005:HIA852058 GYE852005:GYE852058 GOI852005:GOI852058 GEM852005:GEM852058 FUQ852005:FUQ852058 FKU852005:FKU852058 FAY852005:FAY852058 ERC852005:ERC852058 EHG852005:EHG852058 DXK852005:DXK852058 DNO852005:DNO852058 DDS852005:DDS852058 CTW852005:CTW852058 CKA852005:CKA852058 CAE852005:CAE852058 BQI852005:BQI852058 BGM852005:BGM852058 AWQ852005:AWQ852058 AMU852005:AMU852058 ACY852005:ACY852058 TC852005:TC852058 JG852005:JG852058 K852005:K852058 WVS786469:WVS786522 WLW786469:WLW786522 WCA786469:WCA786522 VSE786469:VSE786522 VII786469:VII786522 UYM786469:UYM786522 UOQ786469:UOQ786522 UEU786469:UEU786522 TUY786469:TUY786522 TLC786469:TLC786522 TBG786469:TBG786522 SRK786469:SRK786522 SHO786469:SHO786522 RXS786469:RXS786522 RNW786469:RNW786522 REA786469:REA786522 QUE786469:QUE786522 QKI786469:QKI786522 QAM786469:QAM786522 PQQ786469:PQQ786522 PGU786469:PGU786522 OWY786469:OWY786522 ONC786469:ONC786522 ODG786469:ODG786522 NTK786469:NTK786522 NJO786469:NJO786522 MZS786469:MZS786522 MPW786469:MPW786522 MGA786469:MGA786522 LWE786469:LWE786522 LMI786469:LMI786522 LCM786469:LCM786522 KSQ786469:KSQ786522 KIU786469:KIU786522 JYY786469:JYY786522 JPC786469:JPC786522 JFG786469:JFG786522 IVK786469:IVK786522 ILO786469:ILO786522 IBS786469:IBS786522 HRW786469:HRW786522 HIA786469:HIA786522 GYE786469:GYE786522 GOI786469:GOI786522 GEM786469:GEM786522 FUQ786469:FUQ786522 FKU786469:FKU786522 FAY786469:FAY786522 ERC786469:ERC786522 EHG786469:EHG786522 DXK786469:DXK786522 DNO786469:DNO786522 DDS786469:DDS786522 CTW786469:CTW786522 CKA786469:CKA786522 CAE786469:CAE786522 BQI786469:BQI786522 BGM786469:BGM786522 AWQ786469:AWQ786522 AMU786469:AMU786522 ACY786469:ACY786522 TC786469:TC786522 JG786469:JG786522 K786469:K786522 WVS720933:WVS720986 WLW720933:WLW720986 WCA720933:WCA720986 VSE720933:VSE720986 VII720933:VII720986 UYM720933:UYM720986 UOQ720933:UOQ720986 UEU720933:UEU720986 TUY720933:TUY720986 TLC720933:TLC720986 TBG720933:TBG720986 SRK720933:SRK720986 SHO720933:SHO720986 RXS720933:RXS720986 RNW720933:RNW720986 REA720933:REA720986 QUE720933:QUE720986 QKI720933:QKI720986 QAM720933:QAM720986 PQQ720933:PQQ720986 PGU720933:PGU720986 OWY720933:OWY720986 ONC720933:ONC720986 ODG720933:ODG720986 NTK720933:NTK720986 NJO720933:NJO720986 MZS720933:MZS720986 MPW720933:MPW720986 MGA720933:MGA720986 LWE720933:LWE720986 LMI720933:LMI720986 LCM720933:LCM720986 KSQ720933:KSQ720986 KIU720933:KIU720986 JYY720933:JYY720986 JPC720933:JPC720986 JFG720933:JFG720986 IVK720933:IVK720986 ILO720933:ILO720986 IBS720933:IBS720986 HRW720933:HRW720986 HIA720933:HIA720986 GYE720933:GYE720986 GOI720933:GOI720986 GEM720933:GEM720986 FUQ720933:FUQ720986 FKU720933:FKU720986 FAY720933:FAY720986 ERC720933:ERC720986 EHG720933:EHG720986 DXK720933:DXK720986 DNO720933:DNO720986 DDS720933:DDS720986 CTW720933:CTW720986 CKA720933:CKA720986 CAE720933:CAE720986 BQI720933:BQI720986 BGM720933:BGM720986 AWQ720933:AWQ720986 AMU720933:AMU720986 ACY720933:ACY720986 TC720933:TC720986 JG720933:JG720986 K720933:K720986 WVS655397:WVS655450 WLW655397:WLW655450 WCA655397:WCA655450 VSE655397:VSE655450 VII655397:VII655450 UYM655397:UYM655450 UOQ655397:UOQ655450 UEU655397:UEU655450 TUY655397:TUY655450 TLC655397:TLC655450 TBG655397:TBG655450 SRK655397:SRK655450 SHO655397:SHO655450 RXS655397:RXS655450 RNW655397:RNW655450 REA655397:REA655450 QUE655397:QUE655450 QKI655397:QKI655450 QAM655397:QAM655450 PQQ655397:PQQ655450 PGU655397:PGU655450 OWY655397:OWY655450 ONC655397:ONC655450 ODG655397:ODG655450 NTK655397:NTK655450 NJO655397:NJO655450 MZS655397:MZS655450 MPW655397:MPW655450 MGA655397:MGA655450 LWE655397:LWE655450 LMI655397:LMI655450 LCM655397:LCM655450 KSQ655397:KSQ655450 KIU655397:KIU655450 JYY655397:JYY655450 JPC655397:JPC655450 JFG655397:JFG655450 IVK655397:IVK655450 ILO655397:ILO655450 IBS655397:IBS655450 HRW655397:HRW655450 HIA655397:HIA655450 GYE655397:GYE655450 GOI655397:GOI655450 GEM655397:GEM655450 FUQ655397:FUQ655450 FKU655397:FKU655450 FAY655397:FAY655450 ERC655397:ERC655450 EHG655397:EHG655450 DXK655397:DXK655450 DNO655397:DNO655450 DDS655397:DDS655450 CTW655397:CTW655450 CKA655397:CKA655450 CAE655397:CAE655450 BQI655397:BQI655450 BGM655397:BGM655450 AWQ655397:AWQ655450 AMU655397:AMU655450 ACY655397:ACY655450 TC655397:TC655450 JG655397:JG655450 K655397:K655450 WVS589861:WVS589914 WLW589861:WLW589914 WCA589861:WCA589914 VSE589861:VSE589914 VII589861:VII589914 UYM589861:UYM589914 UOQ589861:UOQ589914 UEU589861:UEU589914 TUY589861:TUY589914 TLC589861:TLC589914 TBG589861:TBG589914 SRK589861:SRK589914 SHO589861:SHO589914 RXS589861:RXS589914 RNW589861:RNW589914 REA589861:REA589914 QUE589861:QUE589914 QKI589861:QKI589914 QAM589861:QAM589914 PQQ589861:PQQ589914 PGU589861:PGU589914 OWY589861:OWY589914 ONC589861:ONC589914 ODG589861:ODG589914 NTK589861:NTK589914 NJO589861:NJO589914 MZS589861:MZS589914 MPW589861:MPW589914 MGA589861:MGA589914 LWE589861:LWE589914 LMI589861:LMI589914 LCM589861:LCM589914 KSQ589861:KSQ589914 KIU589861:KIU589914 JYY589861:JYY589914 JPC589861:JPC589914 JFG589861:JFG589914 IVK589861:IVK589914 ILO589861:ILO589914 IBS589861:IBS589914 HRW589861:HRW589914 HIA589861:HIA589914 GYE589861:GYE589914 GOI589861:GOI589914 GEM589861:GEM589914 FUQ589861:FUQ589914 FKU589861:FKU589914 FAY589861:FAY589914 ERC589861:ERC589914 EHG589861:EHG589914 DXK589861:DXK589914 DNO589861:DNO589914 DDS589861:DDS589914 CTW589861:CTW589914 CKA589861:CKA589914 CAE589861:CAE589914 BQI589861:BQI589914 BGM589861:BGM589914 AWQ589861:AWQ589914 AMU589861:AMU589914 ACY589861:ACY589914 TC589861:TC589914 JG589861:JG589914 K589861:K589914 WVS524325:WVS524378 WLW524325:WLW524378 WCA524325:WCA524378 VSE524325:VSE524378 VII524325:VII524378 UYM524325:UYM524378 UOQ524325:UOQ524378 UEU524325:UEU524378 TUY524325:TUY524378 TLC524325:TLC524378 TBG524325:TBG524378 SRK524325:SRK524378 SHO524325:SHO524378 RXS524325:RXS524378 RNW524325:RNW524378 REA524325:REA524378 QUE524325:QUE524378 QKI524325:QKI524378 QAM524325:QAM524378 PQQ524325:PQQ524378 PGU524325:PGU524378 OWY524325:OWY524378 ONC524325:ONC524378 ODG524325:ODG524378 NTK524325:NTK524378 NJO524325:NJO524378 MZS524325:MZS524378 MPW524325:MPW524378 MGA524325:MGA524378 LWE524325:LWE524378 LMI524325:LMI524378 LCM524325:LCM524378 KSQ524325:KSQ524378 KIU524325:KIU524378 JYY524325:JYY524378 JPC524325:JPC524378 JFG524325:JFG524378 IVK524325:IVK524378 ILO524325:ILO524378 IBS524325:IBS524378 HRW524325:HRW524378 HIA524325:HIA524378 GYE524325:GYE524378 GOI524325:GOI524378 GEM524325:GEM524378 FUQ524325:FUQ524378 FKU524325:FKU524378 FAY524325:FAY524378 ERC524325:ERC524378 EHG524325:EHG524378 DXK524325:DXK524378 DNO524325:DNO524378 DDS524325:DDS524378 CTW524325:CTW524378 CKA524325:CKA524378 CAE524325:CAE524378 BQI524325:BQI524378 BGM524325:BGM524378 AWQ524325:AWQ524378 AMU524325:AMU524378 ACY524325:ACY524378 TC524325:TC524378 JG524325:JG524378 K524325:K524378 WVS458789:WVS458842 WLW458789:WLW458842 WCA458789:WCA458842 VSE458789:VSE458842 VII458789:VII458842 UYM458789:UYM458842 UOQ458789:UOQ458842 UEU458789:UEU458842 TUY458789:TUY458842 TLC458789:TLC458842 TBG458789:TBG458842 SRK458789:SRK458842 SHO458789:SHO458842 RXS458789:RXS458842 RNW458789:RNW458842 REA458789:REA458842 QUE458789:QUE458842 QKI458789:QKI458842 QAM458789:QAM458842 PQQ458789:PQQ458842 PGU458789:PGU458842 OWY458789:OWY458842 ONC458789:ONC458842 ODG458789:ODG458842 NTK458789:NTK458842 NJO458789:NJO458842 MZS458789:MZS458842 MPW458789:MPW458842 MGA458789:MGA458842 LWE458789:LWE458842 LMI458789:LMI458842 LCM458789:LCM458842 KSQ458789:KSQ458842 KIU458789:KIU458842 JYY458789:JYY458842 JPC458789:JPC458842 JFG458789:JFG458842 IVK458789:IVK458842 ILO458789:ILO458842 IBS458789:IBS458842 HRW458789:HRW458842 HIA458789:HIA458842 GYE458789:GYE458842 GOI458789:GOI458842 GEM458789:GEM458842 FUQ458789:FUQ458842 FKU458789:FKU458842 FAY458789:FAY458842 ERC458789:ERC458842 EHG458789:EHG458842 DXK458789:DXK458842 DNO458789:DNO458842 DDS458789:DDS458842 CTW458789:CTW458842 CKA458789:CKA458842 CAE458789:CAE458842 BQI458789:BQI458842 BGM458789:BGM458842 AWQ458789:AWQ458842 AMU458789:AMU458842 ACY458789:ACY458842 TC458789:TC458842 JG458789:JG458842 K458789:K458842 WVS393253:WVS393306 WLW393253:WLW393306 WCA393253:WCA393306 VSE393253:VSE393306 VII393253:VII393306 UYM393253:UYM393306 UOQ393253:UOQ393306 UEU393253:UEU393306 TUY393253:TUY393306 TLC393253:TLC393306 TBG393253:TBG393306 SRK393253:SRK393306 SHO393253:SHO393306 RXS393253:RXS393306 RNW393253:RNW393306 REA393253:REA393306 QUE393253:QUE393306 QKI393253:QKI393306 QAM393253:QAM393306 PQQ393253:PQQ393306 PGU393253:PGU393306 OWY393253:OWY393306 ONC393253:ONC393306 ODG393253:ODG393306 NTK393253:NTK393306 NJO393253:NJO393306 MZS393253:MZS393306 MPW393253:MPW393306 MGA393253:MGA393306 LWE393253:LWE393306 LMI393253:LMI393306 LCM393253:LCM393306 KSQ393253:KSQ393306 KIU393253:KIU393306 JYY393253:JYY393306 JPC393253:JPC393306 JFG393253:JFG393306 IVK393253:IVK393306 ILO393253:ILO393306 IBS393253:IBS393306 HRW393253:HRW393306 HIA393253:HIA393306 GYE393253:GYE393306 GOI393253:GOI393306 GEM393253:GEM393306 FUQ393253:FUQ393306 FKU393253:FKU393306 FAY393253:FAY393306 ERC393253:ERC393306 EHG393253:EHG393306 DXK393253:DXK393306 DNO393253:DNO393306 DDS393253:DDS393306 CTW393253:CTW393306 CKA393253:CKA393306 CAE393253:CAE393306 BQI393253:BQI393306 BGM393253:BGM393306 AWQ393253:AWQ393306 AMU393253:AMU393306 ACY393253:ACY393306 TC393253:TC393306 JG393253:JG393306 K393253:K393306 WVS327717:WVS327770 WLW327717:WLW327770 WCA327717:WCA327770 VSE327717:VSE327770 VII327717:VII327770 UYM327717:UYM327770 UOQ327717:UOQ327770 UEU327717:UEU327770 TUY327717:TUY327770 TLC327717:TLC327770 TBG327717:TBG327770 SRK327717:SRK327770 SHO327717:SHO327770 RXS327717:RXS327770 RNW327717:RNW327770 REA327717:REA327770 QUE327717:QUE327770 QKI327717:QKI327770 QAM327717:QAM327770 PQQ327717:PQQ327770 PGU327717:PGU327770 OWY327717:OWY327770 ONC327717:ONC327770 ODG327717:ODG327770 NTK327717:NTK327770 NJO327717:NJO327770 MZS327717:MZS327770 MPW327717:MPW327770 MGA327717:MGA327770 LWE327717:LWE327770 LMI327717:LMI327770 LCM327717:LCM327770 KSQ327717:KSQ327770 KIU327717:KIU327770 JYY327717:JYY327770 JPC327717:JPC327770 JFG327717:JFG327770 IVK327717:IVK327770 ILO327717:ILO327770 IBS327717:IBS327770 HRW327717:HRW327770 HIA327717:HIA327770 GYE327717:GYE327770 GOI327717:GOI327770 GEM327717:GEM327770 FUQ327717:FUQ327770 FKU327717:FKU327770 FAY327717:FAY327770 ERC327717:ERC327770 EHG327717:EHG327770 DXK327717:DXK327770 DNO327717:DNO327770 DDS327717:DDS327770 CTW327717:CTW327770 CKA327717:CKA327770 CAE327717:CAE327770 BQI327717:BQI327770 BGM327717:BGM327770 AWQ327717:AWQ327770 AMU327717:AMU327770 ACY327717:ACY327770 TC327717:TC327770 JG327717:JG327770 K327717:K327770 WVS262181:WVS262234 WLW262181:WLW262234 WCA262181:WCA262234 VSE262181:VSE262234 VII262181:VII262234 UYM262181:UYM262234 UOQ262181:UOQ262234 UEU262181:UEU262234 TUY262181:TUY262234 TLC262181:TLC262234 TBG262181:TBG262234 SRK262181:SRK262234 SHO262181:SHO262234 RXS262181:RXS262234 RNW262181:RNW262234 REA262181:REA262234 QUE262181:QUE262234 QKI262181:QKI262234 QAM262181:QAM262234 PQQ262181:PQQ262234 PGU262181:PGU262234 OWY262181:OWY262234 ONC262181:ONC262234 ODG262181:ODG262234 NTK262181:NTK262234 NJO262181:NJO262234 MZS262181:MZS262234 MPW262181:MPW262234 MGA262181:MGA262234 LWE262181:LWE262234 LMI262181:LMI262234 LCM262181:LCM262234 KSQ262181:KSQ262234 KIU262181:KIU262234 JYY262181:JYY262234 JPC262181:JPC262234 JFG262181:JFG262234 IVK262181:IVK262234 ILO262181:ILO262234 IBS262181:IBS262234 HRW262181:HRW262234 HIA262181:HIA262234 GYE262181:GYE262234 GOI262181:GOI262234 GEM262181:GEM262234 FUQ262181:FUQ262234 FKU262181:FKU262234 FAY262181:FAY262234 ERC262181:ERC262234 EHG262181:EHG262234 DXK262181:DXK262234 DNO262181:DNO262234 DDS262181:DDS262234 CTW262181:CTW262234 CKA262181:CKA262234 CAE262181:CAE262234 BQI262181:BQI262234 BGM262181:BGM262234 AWQ262181:AWQ262234 AMU262181:AMU262234 ACY262181:ACY262234 TC262181:TC262234 JG262181:JG262234 K262181:K262234 WVS196645:WVS196698 WLW196645:WLW196698 WCA196645:WCA196698 VSE196645:VSE196698 VII196645:VII196698 UYM196645:UYM196698 UOQ196645:UOQ196698 UEU196645:UEU196698 TUY196645:TUY196698 TLC196645:TLC196698 TBG196645:TBG196698 SRK196645:SRK196698 SHO196645:SHO196698 RXS196645:RXS196698 RNW196645:RNW196698 REA196645:REA196698 QUE196645:QUE196698 QKI196645:QKI196698 QAM196645:QAM196698 PQQ196645:PQQ196698 PGU196645:PGU196698 OWY196645:OWY196698 ONC196645:ONC196698 ODG196645:ODG196698 NTK196645:NTK196698 NJO196645:NJO196698 MZS196645:MZS196698 MPW196645:MPW196698 MGA196645:MGA196698 LWE196645:LWE196698 LMI196645:LMI196698 LCM196645:LCM196698 KSQ196645:KSQ196698 KIU196645:KIU196698 JYY196645:JYY196698 JPC196645:JPC196698 JFG196645:JFG196698 IVK196645:IVK196698 ILO196645:ILO196698 IBS196645:IBS196698 HRW196645:HRW196698 HIA196645:HIA196698 GYE196645:GYE196698 GOI196645:GOI196698 GEM196645:GEM196698 FUQ196645:FUQ196698 FKU196645:FKU196698 FAY196645:FAY196698 ERC196645:ERC196698 EHG196645:EHG196698 DXK196645:DXK196698 DNO196645:DNO196698 DDS196645:DDS196698 CTW196645:CTW196698 CKA196645:CKA196698 CAE196645:CAE196698 BQI196645:BQI196698 BGM196645:BGM196698 AWQ196645:AWQ196698 AMU196645:AMU196698 ACY196645:ACY196698 TC196645:TC196698 JG196645:JG196698 K196645:K196698 WVS131109:WVS131162 WLW131109:WLW131162 WCA131109:WCA131162 VSE131109:VSE131162 VII131109:VII131162 UYM131109:UYM131162 UOQ131109:UOQ131162 UEU131109:UEU131162 TUY131109:TUY131162 TLC131109:TLC131162 TBG131109:TBG131162 SRK131109:SRK131162 SHO131109:SHO131162 RXS131109:RXS131162 RNW131109:RNW131162 REA131109:REA131162 QUE131109:QUE131162 QKI131109:QKI131162 QAM131109:QAM131162 PQQ131109:PQQ131162 PGU131109:PGU131162 OWY131109:OWY131162 ONC131109:ONC131162 ODG131109:ODG131162 NTK131109:NTK131162 NJO131109:NJO131162 MZS131109:MZS131162 MPW131109:MPW131162 MGA131109:MGA131162 LWE131109:LWE131162 LMI131109:LMI131162 LCM131109:LCM131162 KSQ131109:KSQ131162 KIU131109:KIU131162 JYY131109:JYY131162 JPC131109:JPC131162 JFG131109:JFG131162 IVK131109:IVK131162 ILO131109:ILO131162 IBS131109:IBS131162 HRW131109:HRW131162 HIA131109:HIA131162 GYE131109:GYE131162 GOI131109:GOI131162 GEM131109:GEM131162 FUQ131109:FUQ131162 FKU131109:FKU131162 FAY131109:FAY131162 ERC131109:ERC131162 EHG131109:EHG131162 DXK131109:DXK131162 DNO131109:DNO131162 DDS131109:DDS131162 CTW131109:CTW131162 CKA131109:CKA131162 CAE131109:CAE131162 BQI131109:BQI131162 BGM131109:BGM131162 AWQ131109:AWQ131162 AMU131109:AMU131162 ACY131109:ACY131162 TC131109:TC131162 JG131109:JG131162 K131109:K131162 WVS65573:WVS65626 WLW65573:WLW65626 WCA65573:WCA65626 VSE65573:VSE65626 VII65573:VII65626 UYM65573:UYM65626 UOQ65573:UOQ65626 UEU65573:UEU65626 TUY65573:TUY65626 TLC65573:TLC65626 TBG65573:TBG65626 SRK65573:SRK65626 SHO65573:SHO65626 RXS65573:RXS65626 RNW65573:RNW65626 REA65573:REA65626 QUE65573:QUE65626 QKI65573:QKI65626 QAM65573:QAM65626 PQQ65573:PQQ65626 PGU65573:PGU65626 OWY65573:OWY65626 ONC65573:ONC65626 ODG65573:ODG65626 NTK65573:NTK65626 NJO65573:NJO65626 MZS65573:MZS65626 MPW65573:MPW65626 MGA65573:MGA65626 LWE65573:LWE65626 LMI65573:LMI65626 LCM65573:LCM65626 KSQ65573:KSQ65626 KIU65573:KIU65626 JYY65573:JYY65626 JPC65573:JPC65626 JFG65573:JFG65626 IVK65573:IVK65626 ILO65573:ILO65626 IBS65573:IBS65626 HRW65573:HRW65626 HIA65573:HIA65626 GYE65573:GYE65626 GOI65573:GOI65626 GEM65573:GEM65626 FUQ65573:FUQ65626 FKU65573:FKU65626 FAY65573:FAY65626 ERC65573:ERC65626 EHG65573:EHG65626 DXK65573:DXK65626 DNO65573:DNO65626 DDS65573:DDS65626 CTW65573:CTW65626 CKA65573:CKA65626 CAE65573:CAE65626 BQI65573:BQI65626 BGM65573:BGM65626 AWQ65573:AWQ65626 AMU65573:AMU65626 ACY65573:ACY65626 TC65573:TC65626 JG65573:JG65626 K65573:K65626 WVS24:WVS78 WLW24:WLW78 WCA24:WCA78 VSE24:VSE78 VII24:VII78 UYM24:UYM78 UOQ24:UOQ78 UEU24:UEU78 TUY24:TUY78 TLC24:TLC78 TBG24:TBG78 SRK24:SRK78 SHO24:SHO78 RXS24:RXS78 RNW24:RNW78 REA24:REA78 QUE24:QUE78 QKI24:QKI78 QAM24:QAM78 PQQ24:PQQ78 PGU24:PGU78 OWY24:OWY78 ONC24:ONC78 ODG24:ODG78 NTK24:NTK78 NJO24:NJO78 MZS24:MZS78 MPW24:MPW78 MGA24:MGA78 LWE24:LWE78 LMI24:LMI78 LCM24:LCM78 KSQ24:KSQ78 KIU24:KIU78 JYY24:JYY78 JPC24:JPC78 JFG24:JFG78 IVK24:IVK78 ILO24:ILO78 IBS24:IBS78 HRW24:HRW78 HIA24:HIA78 GYE24:GYE78 GOI24:GOI78 GEM24:GEM78 FUQ24:FUQ78 FKU24:FKU78 FAY24:FAY78 ERC24:ERC78 EHG24:EHG78 DXK24:DXK78 DNO24:DNO78 DDS24:DDS78 CTW24:CTW78 CKA24:CKA78 CAE24:CAE78 BQI24:BQI78 BGM24:BGM78 AWQ24:AWQ78 AMU24:AMU78 ACY24:ACY78 TC24:TC78 JG24:JG78" xr:uid="{00000000-0002-0000-0800-000000000000}">
      <formula1>$B$194:$B$198</formula1>
    </dataValidation>
    <dataValidation type="list" allowBlank="1" showInputMessage="1" showErrorMessage="1" sqref="J83:J121 WVR983135:WVR983173 WLV983135:WLV983173 WBZ983135:WBZ983173 VSD983135:VSD983173 VIH983135:VIH983173 UYL983135:UYL983173 UOP983135:UOP983173 UET983135:UET983173 TUX983135:TUX983173 TLB983135:TLB983173 TBF983135:TBF983173 SRJ983135:SRJ983173 SHN983135:SHN983173 RXR983135:RXR983173 RNV983135:RNV983173 RDZ983135:RDZ983173 QUD983135:QUD983173 QKH983135:QKH983173 QAL983135:QAL983173 PQP983135:PQP983173 PGT983135:PGT983173 OWX983135:OWX983173 ONB983135:ONB983173 ODF983135:ODF983173 NTJ983135:NTJ983173 NJN983135:NJN983173 MZR983135:MZR983173 MPV983135:MPV983173 MFZ983135:MFZ983173 LWD983135:LWD983173 LMH983135:LMH983173 LCL983135:LCL983173 KSP983135:KSP983173 KIT983135:KIT983173 JYX983135:JYX983173 JPB983135:JPB983173 JFF983135:JFF983173 IVJ983135:IVJ983173 ILN983135:ILN983173 IBR983135:IBR983173 HRV983135:HRV983173 HHZ983135:HHZ983173 GYD983135:GYD983173 GOH983135:GOH983173 GEL983135:GEL983173 FUP983135:FUP983173 FKT983135:FKT983173 FAX983135:FAX983173 ERB983135:ERB983173 EHF983135:EHF983173 DXJ983135:DXJ983173 DNN983135:DNN983173 DDR983135:DDR983173 CTV983135:CTV983173 CJZ983135:CJZ983173 CAD983135:CAD983173 BQH983135:BQH983173 BGL983135:BGL983173 AWP983135:AWP983173 AMT983135:AMT983173 ACX983135:ACX983173 TB983135:TB983173 JF983135:JF983173 J983135:J983173 WVR917599:WVR917637 WLV917599:WLV917637 WBZ917599:WBZ917637 VSD917599:VSD917637 VIH917599:VIH917637 UYL917599:UYL917637 UOP917599:UOP917637 UET917599:UET917637 TUX917599:TUX917637 TLB917599:TLB917637 TBF917599:TBF917637 SRJ917599:SRJ917637 SHN917599:SHN917637 RXR917599:RXR917637 RNV917599:RNV917637 RDZ917599:RDZ917637 QUD917599:QUD917637 QKH917599:QKH917637 QAL917599:QAL917637 PQP917599:PQP917637 PGT917599:PGT917637 OWX917599:OWX917637 ONB917599:ONB917637 ODF917599:ODF917637 NTJ917599:NTJ917637 NJN917599:NJN917637 MZR917599:MZR917637 MPV917599:MPV917637 MFZ917599:MFZ917637 LWD917599:LWD917637 LMH917599:LMH917637 LCL917599:LCL917637 KSP917599:KSP917637 KIT917599:KIT917637 JYX917599:JYX917637 JPB917599:JPB917637 JFF917599:JFF917637 IVJ917599:IVJ917637 ILN917599:ILN917637 IBR917599:IBR917637 HRV917599:HRV917637 HHZ917599:HHZ917637 GYD917599:GYD917637 GOH917599:GOH917637 GEL917599:GEL917637 FUP917599:FUP917637 FKT917599:FKT917637 FAX917599:FAX917637 ERB917599:ERB917637 EHF917599:EHF917637 DXJ917599:DXJ917637 DNN917599:DNN917637 DDR917599:DDR917637 CTV917599:CTV917637 CJZ917599:CJZ917637 CAD917599:CAD917637 BQH917599:BQH917637 BGL917599:BGL917637 AWP917599:AWP917637 AMT917599:AMT917637 ACX917599:ACX917637 TB917599:TB917637 JF917599:JF917637 J917599:J917637 WVR852063:WVR852101 WLV852063:WLV852101 WBZ852063:WBZ852101 VSD852063:VSD852101 VIH852063:VIH852101 UYL852063:UYL852101 UOP852063:UOP852101 UET852063:UET852101 TUX852063:TUX852101 TLB852063:TLB852101 TBF852063:TBF852101 SRJ852063:SRJ852101 SHN852063:SHN852101 RXR852063:RXR852101 RNV852063:RNV852101 RDZ852063:RDZ852101 QUD852063:QUD852101 QKH852063:QKH852101 QAL852063:QAL852101 PQP852063:PQP852101 PGT852063:PGT852101 OWX852063:OWX852101 ONB852063:ONB852101 ODF852063:ODF852101 NTJ852063:NTJ852101 NJN852063:NJN852101 MZR852063:MZR852101 MPV852063:MPV852101 MFZ852063:MFZ852101 LWD852063:LWD852101 LMH852063:LMH852101 LCL852063:LCL852101 KSP852063:KSP852101 KIT852063:KIT852101 JYX852063:JYX852101 JPB852063:JPB852101 JFF852063:JFF852101 IVJ852063:IVJ852101 ILN852063:ILN852101 IBR852063:IBR852101 HRV852063:HRV852101 HHZ852063:HHZ852101 GYD852063:GYD852101 GOH852063:GOH852101 GEL852063:GEL852101 FUP852063:FUP852101 FKT852063:FKT852101 FAX852063:FAX852101 ERB852063:ERB852101 EHF852063:EHF852101 DXJ852063:DXJ852101 DNN852063:DNN852101 DDR852063:DDR852101 CTV852063:CTV852101 CJZ852063:CJZ852101 CAD852063:CAD852101 BQH852063:BQH852101 BGL852063:BGL852101 AWP852063:AWP852101 AMT852063:AMT852101 ACX852063:ACX852101 TB852063:TB852101 JF852063:JF852101 J852063:J852101 WVR786527:WVR786565 WLV786527:WLV786565 WBZ786527:WBZ786565 VSD786527:VSD786565 VIH786527:VIH786565 UYL786527:UYL786565 UOP786527:UOP786565 UET786527:UET786565 TUX786527:TUX786565 TLB786527:TLB786565 TBF786527:TBF786565 SRJ786527:SRJ786565 SHN786527:SHN786565 RXR786527:RXR786565 RNV786527:RNV786565 RDZ786527:RDZ786565 QUD786527:QUD786565 QKH786527:QKH786565 QAL786527:QAL786565 PQP786527:PQP786565 PGT786527:PGT786565 OWX786527:OWX786565 ONB786527:ONB786565 ODF786527:ODF786565 NTJ786527:NTJ786565 NJN786527:NJN786565 MZR786527:MZR786565 MPV786527:MPV786565 MFZ786527:MFZ786565 LWD786527:LWD786565 LMH786527:LMH786565 LCL786527:LCL786565 KSP786527:KSP786565 KIT786527:KIT786565 JYX786527:JYX786565 JPB786527:JPB786565 JFF786527:JFF786565 IVJ786527:IVJ786565 ILN786527:ILN786565 IBR786527:IBR786565 HRV786527:HRV786565 HHZ786527:HHZ786565 GYD786527:GYD786565 GOH786527:GOH786565 GEL786527:GEL786565 FUP786527:FUP786565 FKT786527:FKT786565 FAX786527:FAX786565 ERB786527:ERB786565 EHF786527:EHF786565 DXJ786527:DXJ786565 DNN786527:DNN786565 DDR786527:DDR786565 CTV786527:CTV786565 CJZ786527:CJZ786565 CAD786527:CAD786565 BQH786527:BQH786565 BGL786527:BGL786565 AWP786527:AWP786565 AMT786527:AMT786565 ACX786527:ACX786565 TB786527:TB786565 JF786527:JF786565 J786527:J786565 WVR720991:WVR721029 WLV720991:WLV721029 WBZ720991:WBZ721029 VSD720991:VSD721029 VIH720991:VIH721029 UYL720991:UYL721029 UOP720991:UOP721029 UET720991:UET721029 TUX720991:TUX721029 TLB720991:TLB721029 TBF720991:TBF721029 SRJ720991:SRJ721029 SHN720991:SHN721029 RXR720991:RXR721029 RNV720991:RNV721029 RDZ720991:RDZ721029 QUD720991:QUD721029 QKH720991:QKH721029 QAL720991:QAL721029 PQP720991:PQP721029 PGT720991:PGT721029 OWX720991:OWX721029 ONB720991:ONB721029 ODF720991:ODF721029 NTJ720991:NTJ721029 NJN720991:NJN721029 MZR720991:MZR721029 MPV720991:MPV721029 MFZ720991:MFZ721029 LWD720991:LWD721029 LMH720991:LMH721029 LCL720991:LCL721029 KSP720991:KSP721029 KIT720991:KIT721029 JYX720991:JYX721029 JPB720991:JPB721029 JFF720991:JFF721029 IVJ720991:IVJ721029 ILN720991:ILN721029 IBR720991:IBR721029 HRV720991:HRV721029 HHZ720991:HHZ721029 GYD720991:GYD721029 GOH720991:GOH721029 GEL720991:GEL721029 FUP720991:FUP721029 FKT720991:FKT721029 FAX720991:FAX721029 ERB720991:ERB721029 EHF720991:EHF721029 DXJ720991:DXJ721029 DNN720991:DNN721029 DDR720991:DDR721029 CTV720991:CTV721029 CJZ720991:CJZ721029 CAD720991:CAD721029 BQH720991:BQH721029 BGL720991:BGL721029 AWP720991:AWP721029 AMT720991:AMT721029 ACX720991:ACX721029 TB720991:TB721029 JF720991:JF721029 J720991:J721029 WVR655455:WVR655493 WLV655455:WLV655493 WBZ655455:WBZ655493 VSD655455:VSD655493 VIH655455:VIH655493 UYL655455:UYL655493 UOP655455:UOP655493 UET655455:UET655493 TUX655455:TUX655493 TLB655455:TLB655493 TBF655455:TBF655493 SRJ655455:SRJ655493 SHN655455:SHN655493 RXR655455:RXR655493 RNV655455:RNV655493 RDZ655455:RDZ655493 QUD655455:QUD655493 QKH655455:QKH655493 QAL655455:QAL655493 PQP655455:PQP655493 PGT655455:PGT655493 OWX655455:OWX655493 ONB655455:ONB655493 ODF655455:ODF655493 NTJ655455:NTJ655493 NJN655455:NJN655493 MZR655455:MZR655493 MPV655455:MPV655493 MFZ655455:MFZ655493 LWD655455:LWD655493 LMH655455:LMH655493 LCL655455:LCL655493 KSP655455:KSP655493 KIT655455:KIT655493 JYX655455:JYX655493 JPB655455:JPB655493 JFF655455:JFF655493 IVJ655455:IVJ655493 ILN655455:ILN655493 IBR655455:IBR655493 HRV655455:HRV655493 HHZ655455:HHZ655493 GYD655455:GYD655493 GOH655455:GOH655493 GEL655455:GEL655493 FUP655455:FUP655493 FKT655455:FKT655493 FAX655455:FAX655493 ERB655455:ERB655493 EHF655455:EHF655493 DXJ655455:DXJ655493 DNN655455:DNN655493 DDR655455:DDR655493 CTV655455:CTV655493 CJZ655455:CJZ655493 CAD655455:CAD655493 BQH655455:BQH655493 BGL655455:BGL655493 AWP655455:AWP655493 AMT655455:AMT655493 ACX655455:ACX655493 TB655455:TB655493 JF655455:JF655493 J655455:J655493 WVR589919:WVR589957 WLV589919:WLV589957 WBZ589919:WBZ589957 VSD589919:VSD589957 VIH589919:VIH589957 UYL589919:UYL589957 UOP589919:UOP589957 UET589919:UET589957 TUX589919:TUX589957 TLB589919:TLB589957 TBF589919:TBF589957 SRJ589919:SRJ589957 SHN589919:SHN589957 RXR589919:RXR589957 RNV589919:RNV589957 RDZ589919:RDZ589957 QUD589919:QUD589957 QKH589919:QKH589957 QAL589919:QAL589957 PQP589919:PQP589957 PGT589919:PGT589957 OWX589919:OWX589957 ONB589919:ONB589957 ODF589919:ODF589957 NTJ589919:NTJ589957 NJN589919:NJN589957 MZR589919:MZR589957 MPV589919:MPV589957 MFZ589919:MFZ589957 LWD589919:LWD589957 LMH589919:LMH589957 LCL589919:LCL589957 KSP589919:KSP589957 KIT589919:KIT589957 JYX589919:JYX589957 JPB589919:JPB589957 JFF589919:JFF589957 IVJ589919:IVJ589957 ILN589919:ILN589957 IBR589919:IBR589957 HRV589919:HRV589957 HHZ589919:HHZ589957 GYD589919:GYD589957 GOH589919:GOH589957 GEL589919:GEL589957 FUP589919:FUP589957 FKT589919:FKT589957 FAX589919:FAX589957 ERB589919:ERB589957 EHF589919:EHF589957 DXJ589919:DXJ589957 DNN589919:DNN589957 DDR589919:DDR589957 CTV589919:CTV589957 CJZ589919:CJZ589957 CAD589919:CAD589957 BQH589919:BQH589957 BGL589919:BGL589957 AWP589919:AWP589957 AMT589919:AMT589957 ACX589919:ACX589957 TB589919:TB589957 JF589919:JF589957 J589919:J589957 WVR524383:WVR524421 WLV524383:WLV524421 WBZ524383:WBZ524421 VSD524383:VSD524421 VIH524383:VIH524421 UYL524383:UYL524421 UOP524383:UOP524421 UET524383:UET524421 TUX524383:TUX524421 TLB524383:TLB524421 TBF524383:TBF524421 SRJ524383:SRJ524421 SHN524383:SHN524421 RXR524383:RXR524421 RNV524383:RNV524421 RDZ524383:RDZ524421 QUD524383:QUD524421 QKH524383:QKH524421 QAL524383:QAL524421 PQP524383:PQP524421 PGT524383:PGT524421 OWX524383:OWX524421 ONB524383:ONB524421 ODF524383:ODF524421 NTJ524383:NTJ524421 NJN524383:NJN524421 MZR524383:MZR524421 MPV524383:MPV524421 MFZ524383:MFZ524421 LWD524383:LWD524421 LMH524383:LMH524421 LCL524383:LCL524421 KSP524383:KSP524421 KIT524383:KIT524421 JYX524383:JYX524421 JPB524383:JPB524421 JFF524383:JFF524421 IVJ524383:IVJ524421 ILN524383:ILN524421 IBR524383:IBR524421 HRV524383:HRV524421 HHZ524383:HHZ524421 GYD524383:GYD524421 GOH524383:GOH524421 GEL524383:GEL524421 FUP524383:FUP524421 FKT524383:FKT524421 FAX524383:FAX524421 ERB524383:ERB524421 EHF524383:EHF524421 DXJ524383:DXJ524421 DNN524383:DNN524421 DDR524383:DDR524421 CTV524383:CTV524421 CJZ524383:CJZ524421 CAD524383:CAD524421 BQH524383:BQH524421 BGL524383:BGL524421 AWP524383:AWP524421 AMT524383:AMT524421 ACX524383:ACX524421 TB524383:TB524421 JF524383:JF524421 J524383:J524421 WVR458847:WVR458885 WLV458847:WLV458885 WBZ458847:WBZ458885 VSD458847:VSD458885 VIH458847:VIH458885 UYL458847:UYL458885 UOP458847:UOP458885 UET458847:UET458885 TUX458847:TUX458885 TLB458847:TLB458885 TBF458847:TBF458885 SRJ458847:SRJ458885 SHN458847:SHN458885 RXR458847:RXR458885 RNV458847:RNV458885 RDZ458847:RDZ458885 QUD458847:QUD458885 QKH458847:QKH458885 QAL458847:QAL458885 PQP458847:PQP458885 PGT458847:PGT458885 OWX458847:OWX458885 ONB458847:ONB458885 ODF458847:ODF458885 NTJ458847:NTJ458885 NJN458847:NJN458885 MZR458847:MZR458885 MPV458847:MPV458885 MFZ458847:MFZ458885 LWD458847:LWD458885 LMH458847:LMH458885 LCL458847:LCL458885 KSP458847:KSP458885 KIT458847:KIT458885 JYX458847:JYX458885 JPB458847:JPB458885 JFF458847:JFF458885 IVJ458847:IVJ458885 ILN458847:ILN458885 IBR458847:IBR458885 HRV458847:HRV458885 HHZ458847:HHZ458885 GYD458847:GYD458885 GOH458847:GOH458885 GEL458847:GEL458885 FUP458847:FUP458885 FKT458847:FKT458885 FAX458847:FAX458885 ERB458847:ERB458885 EHF458847:EHF458885 DXJ458847:DXJ458885 DNN458847:DNN458885 DDR458847:DDR458885 CTV458847:CTV458885 CJZ458847:CJZ458885 CAD458847:CAD458885 BQH458847:BQH458885 BGL458847:BGL458885 AWP458847:AWP458885 AMT458847:AMT458885 ACX458847:ACX458885 TB458847:TB458885 JF458847:JF458885 J458847:J458885 WVR393311:WVR393349 WLV393311:WLV393349 WBZ393311:WBZ393349 VSD393311:VSD393349 VIH393311:VIH393349 UYL393311:UYL393349 UOP393311:UOP393349 UET393311:UET393349 TUX393311:TUX393349 TLB393311:TLB393349 TBF393311:TBF393349 SRJ393311:SRJ393349 SHN393311:SHN393349 RXR393311:RXR393349 RNV393311:RNV393349 RDZ393311:RDZ393349 QUD393311:QUD393349 QKH393311:QKH393349 QAL393311:QAL393349 PQP393311:PQP393349 PGT393311:PGT393349 OWX393311:OWX393349 ONB393311:ONB393349 ODF393311:ODF393349 NTJ393311:NTJ393349 NJN393311:NJN393349 MZR393311:MZR393349 MPV393311:MPV393349 MFZ393311:MFZ393349 LWD393311:LWD393349 LMH393311:LMH393349 LCL393311:LCL393349 KSP393311:KSP393349 KIT393311:KIT393349 JYX393311:JYX393349 JPB393311:JPB393349 JFF393311:JFF393349 IVJ393311:IVJ393349 ILN393311:ILN393349 IBR393311:IBR393349 HRV393311:HRV393349 HHZ393311:HHZ393349 GYD393311:GYD393349 GOH393311:GOH393349 GEL393311:GEL393349 FUP393311:FUP393349 FKT393311:FKT393349 FAX393311:FAX393349 ERB393311:ERB393349 EHF393311:EHF393349 DXJ393311:DXJ393349 DNN393311:DNN393349 DDR393311:DDR393349 CTV393311:CTV393349 CJZ393311:CJZ393349 CAD393311:CAD393349 BQH393311:BQH393349 BGL393311:BGL393349 AWP393311:AWP393349 AMT393311:AMT393349 ACX393311:ACX393349 TB393311:TB393349 JF393311:JF393349 J393311:J393349 WVR327775:WVR327813 WLV327775:WLV327813 WBZ327775:WBZ327813 VSD327775:VSD327813 VIH327775:VIH327813 UYL327775:UYL327813 UOP327775:UOP327813 UET327775:UET327813 TUX327775:TUX327813 TLB327775:TLB327813 TBF327775:TBF327813 SRJ327775:SRJ327813 SHN327775:SHN327813 RXR327775:RXR327813 RNV327775:RNV327813 RDZ327775:RDZ327813 QUD327775:QUD327813 QKH327775:QKH327813 QAL327775:QAL327813 PQP327775:PQP327813 PGT327775:PGT327813 OWX327775:OWX327813 ONB327775:ONB327813 ODF327775:ODF327813 NTJ327775:NTJ327813 NJN327775:NJN327813 MZR327775:MZR327813 MPV327775:MPV327813 MFZ327775:MFZ327813 LWD327775:LWD327813 LMH327775:LMH327813 LCL327775:LCL327813 KSP327775:KSP327813 KIT327775:KIT327813 JYX327775:JYX327813 JPB327775:JPB327813 JFF327775:JFF327813 IVJ327775:IVJ327813 ILN327775:ILN327813 IBR327775:IBR327813 HRV327775:HRV327813 HHZ327775:HHZ327813 GYD327775:GYD327813 GOH327775:GOH327813 GEL327775:GEL327813 FUP327775:FUP327813 FKT327775:FKT327813 FAX327775:FAX327813 ERB327775:ERB327813 EHF327775:EHF327813 DXJ327775:DXJ327813 DNN327775:DNN327813 DDR327775:DDR327813 CTV327775:CTV327813 CJZ327775:CJZ327813 CAD327775:CAD327813 BQH327775:BQH327813 BGL327775:BGL327813 AWP327775:AWP327813 AMT327775:AMT327813 ACX327775:ACX327813 TB327775:TB327813 JF327775:JF327813 J327775:J327813 WVR262239:WVR262277 WLV262239:WLV262277 WBZ262239:WBZ262277 VSD262239:VSD262277 VIH262239:VIH262277 UYL262239:UYL262277 UOP262239:UOP262277 UET262239:UET262277 TUX262239:TUX262277 TLB262239:TLB262277 TBF262239:TBF262277 SRJ262239:SRJ262277 SHN262239:SHN262277 RXR262239:RXR262277 RNV262239:RNV262277 RDZ262239:RDZ262277 QUD262239:QUD262277 QKH262239:QKH262277 QAL262239:QAL262277 PQP262239:PQP262277 PGT262239:PGT262277 OWX262239:OWX262277 ONB262239:ONB262277 ODF262239:ODF262277 NTJ262239:NTJ262277 NJN262239:NJN262277 MZR262239:MZR262277 MPV262239:MPV262277 MFZ262239:MFZ262277 LWD262239:LWD262277 LMH262239:LMH262277 LCL262239:LCL262277 KSP262239:KSP262277 KIT262239:KIT262277 JYX262239:JYX262277 JPB262239:JPB262277 JFF262239:JFF262277 IVJ262239:IVJ262277 ILN262239:ILN262277 IBR262239:IBR262277 HRV262239:HRV262277 HHZ262239:HHZ262277 GYD262239:GYD262277 GOH262239:GOH262277 GEL262239:GEL262277 FUP262239:FUP262277 FKT262239:FKT262277 FAX262239:FAX262277 ERB262239:ERB262277 EHF262239:EHF262277 DXJ262239:DXJ262277 DNN262239:DNN262277 DDR262239:DDR262277 CTV262239:CTV262277 CJZ262239:CJZ262277 CAD262239:CAD262277 BQH262239:BQH262277 BGL262239:BGL262277 AWP262239:AWP262277 AMT262239:AMT262277 ACX262239:ACX262277 TB262239:TB262277 JF262239:JF262277 J262239:J262277 WVR196703:WVR196741 WLV196703:WLV196741 WBZ196703:WBZ196741 VSD196703:VSD196741 VIH196703:VIH196741 UYL196703:UYL196741 UOP196703:UOP196741 UET196703:UET196741 TUX196703:TUX196741 TLB196703:TLB196741 TBF196703:TBF196741 SRJ196703:SRJ196741 SHN196703:SHN196741 RXR196703:RXR196741 RNV196703:RNV196741 RDZ196703:RDZ196741 QUD196703:QUD196741 QKH196703:QKH196741 QAL196703:QAL196741 PQP196703:PQP196741 PGT196703:PGT196741 OWX196703:OWX196741 ONB196703:ONB196741 ODF196703:ODF196741 NTJ196703:NTJ196741 NJN196703:NJN196741 MZR196703:MZR196741 MPV196703:MPV196741 MFZ196703:MFZ196741 LWD196703:LWD196741 LMH196703:LMH196741 LCL196703:LCL196741 KSP196703:KSP196741 KIT196703:KIT196741 JYX196703:JYX196741 JPB196703:JPB196741 JFF196703:JFF196741 IVJ196703:IVJ196741 ILN196703:ILN196741 IBR196703:IBR196741 HRV196703:HRV196741 HHZ196703:HHZ196741 GYD196703:GYD196741 GOH196703:GOH196741 GEL196703:GEL196741 FUP196703:FUP196741 FKT196703:FKT196741 FAX196703:FAX196741 ERB196703:ERB196741 EHF196703:EHF196741 DXJ196703:DXJ196741 DNN196703:DNN196741 DDR196703:DDR196741 CTV196703:CTV196741 CJZ196703:CJZ196741 CAD196703:CAD196741 BQH196703:BQH196741 BGL196703:BGL196741 AWP196703:AWP196741 AMT196703:AMT196741 ACX196703:ACX196741 TB196703:TB196741 JF196703:JF196741 J196703:J196741 WVR131167:WVR131205 WLV131167:WLV131205 WBZ131167:WBZ131205 VSD131167:VSD131205 VIH131167:VIH131205 UYL131167:UYL131205 UOP131167:UOP131205 UET131167:UET131205 TUX131167:TUX131205 TLB131167:TLB131205 TBF131167:TBF131205 SRJ131167:SRJ131205 SHN131167:SHN131205 RXR131167:RXR131205 RNV131167:RNV131205 RDZ131167:RDZ131205 QUD131167:QUD131205 QKH131167:QKH131205 QAL131167:QAL131205 PQP131167:PQP131205 PGT131167:PGT131205 OWX131167:OWX131205 ONB131167:ONB131205 ODF131167:ODF131205 NTJ131167:NTJ131205 NJN131167:NJN131205 MZR131167:MZR131205 MPV131167:MPV131205 MFZ131167:MFZ131205 LWD131167:LWD131205 LMH131167:LMH131205 LCL131167:LCL131205 KSP131167:KSP131205 KIT131167:KIT131205 JYX131167:JYX131205 JPB131167:JPB131205 JFF131167:JFF131205 IVJ131167:IVJ131205 ILN131167:ILN131205 IBR131167:IBR131205 HRV131167:HRV131205 HHZ131167:HHZ131205 GYD131167:GYD131205 GOH131167:GOH131205 GEL131167:GEL131205 FUP131167:FUP131205 FKT131167:FKT131205 FAX131167:FAX131205 ERB131167:ERB131205 EHF131167:EHF131205 DXJ131167:DXJ131205 DNN131167:DNN131205 DDR131167:DDR131205 CTV131167:CTV131205 CJZ131167:CJZ131205 CAD131167:CAD131205 BQH131167:BQH131205 BGL131167:BGL131205 AWP131167:AWP131205 AMT131167:AMT131205 ACX131167:ACX131205 TB131167:TB131205 JF131167:JF131205 J131167:J131205 WVR65631:WVR65669 WLV65631:WLV65669 WBZ65631:WBZ65669 VSD65631:VSD65669 VIH65631:VIH65669 UYL65631:UYL65669 UOP65631:UOP65669 UET65631:UET65669 TUX65631:TUX65669 TLB65631:TLB65669 TBF65631:TBF65669 SRJ65631:SRJ65669 SHN65631:SHN65669 RXR65631:RXR65669 RNV65631:RNV65669 RDZ65631:RDZ65669 QUD65631:QUD65669 QKH65631:QKH65669 QAL65631:QAL65669 PQP65631:PQP65669 PGT65631:PGT65669 OWX65631:OWX65669 ONB65631:ONB65669 ODF65631:ODF65669 NTJ65631:NTJ65669 NJN65631:NJN65669 MZR65631:MZR65669 MPV65631:MPV65669 MFZ65631:MFZ65669 LWD65631:LWD65669 LMH65631:LMH65669 LCL65631:LCL65669 KSP65631:KSP65669 KIT65631:KIT65669 JYX65631:JYX65669 JPB65631:JPB65669 JFF65631:JFF65669 IVJ65631:IVJ65669 ILN65631:ILN65669 IBR65631:IBR65669 HRV65631:HRV65669 HHZ65631:HHZ65669 GYD65631:GYD65669 GOH65631:GOH65669 GEL65631:GEL65669 FUP65631:FUP65669 FKT65631:FKT65669 FAX65631:FAX65669 ERB65631:ERB65669 EHF65631:EHF65669 DXJ65631:DXJ65669 DNN65631:DNN65669 DDR65631:DDR65669 CTV65631:CTV65669 CJZ65631:CJZ65669 CAD65631:CAD65669 BQH65631:BQH65669 BGL65631:BGL65669 AWP65631:AWP65669 AMT65631:AMT65669 ACX65631:ACX65669 TB65631:TB65669 JF65631:JF65669 J65631:J65669 WVR83:WVR121 WLV83:WLV121 WBZ83:WBZ121 VSD83:VSD121 VIH83:VIH121 UYL83:UYL121 UOP83:UOP121 UET83:UET121 TUX83:TUX121 TLB83:TLB121 TBF83:TBF121 SRJ83:SRJ121 SHN83:SHN121 RXR83:RXR121 RNV83:RNV121 RDZ83:RDZ121 QUD83:QUD121 QKH83:QKH121 QAL83:QAL121 PQP83:PQP121 PGT83:PGT121 OWX83:OWX121 ONB83:ONB121 ODF83:ODF121 NTJ83:NTJ121 NJN83:NJN121 MZR83:MZR121 MPV83:MPV121 MFZ83:MFZ121 LWD83:LWD121 LMH83:LMH121 LCL83:LCL121 KSP83:KSP121 KIT83:KIT121 JYX83:JYX121 JPB83:JPB121 JFF83:JFF121 IVJ83:IVJ121 ILN83:ILN121 IBR83:IBR121 HRV83:HRV121 HHZ83:HHZ121 GYD83:GYD121 GOH83:GOH121 GEL83:GEL121 FUP83:FUP121 FKT83:FKT121 FAX83:FAX121 ERB83:ERB121 EHF83:EHF121 DXJ83:DXJ121 DNN83:DNN121 DDR83:DDR121 CTV83:CTV121 CJZ83:CJZ121 CAD83:CAD121 BQH83:BQH121 BGL83:BGL121 AWP83:AWP121 AMT83:AMT121 ACX83:ACX121 TB83:TB121 JF83:JF121" xr:uid="{00000000-0002-0000-0800-000001000000}">
      <formula1>$A$194:$A$198</formula1>
    </dataValidation>
    <dataValidation type="list" allowBlank="1" showInputMessage="1" showErrorMessage="1" sqref="J24:J78 WVR983077:WVR983130 WLV983077:WLV983130 WBZ983077:WBZ983130 VSD983077:VSD983130 VIH983077:VIH983130 UYL983077:UYL983130 UOP983077:UOP983130 UET983077:UET983130 TUX983077:TUX983130 TLB983077:TLB983130 TBF983077:TBF983130 SRJ983077:SRJ983130 SHN983077:SHN983130 RXR983077:RXR983130 RNV983077:RNV983130 RDZ983077:RDZ983130 QUD983077:QUD983130 QKH983077:QKH983130 QAL983077:QAL983130 PQP983077:PQP983130 PGT983077:PGT983130 OWX983077:OWX983130 ONB983077:ONB983130 ODF983077:ODF983130 NTJ983077:NTJ983130 NJN983077:NJN983130 MZR983077:MZR983130 MPV983077:MPV983130 MFZ983077:MFZ983130 LWD983077:LWD983130 LMH983077:LMH983130 LCL983077:LCL983130 KSP983077:KSP983130 KIT983077:KIT983130 JYX983077:JYX983130 JPB983077:JPB983130 JFF983077:JFF983130 IVJ983077:IVJ983130 ILN983077:ILN983130 IBR983077:IBR983130 HRV983077:HRV983130 HHZ983077:HHZ983130 GYD983077:GYD983130 GOH983077:GOH983130 GEL983077:GEL983130 FUP983077:FUP983130 FKT983077:FKT983130 FAX983077:FAX983130 ERB983077:ERB983130 EHF983077:EHF983130 DXJ983077:DXJ983130 DNN983077:DNN983130 DDR983077:DDR983130 CTV983077:CTV983130 CJZ983077:CJZ983130 CAD983077:CAD983130 BQH983077:BQH983130 BGL983077:BGL983130 AWP983077:AWP983130 AMT983077:AMT983130 ACX983077:ACX983130 TB983077:TB983130 JF983077:JF983130 J983077:J983130 WVR917541:WVR917594 WLV917541:WLV917594 WBZ917541:WBZ917594 VSD917541:VSD917594 VIH917541:VIH917594 UYL917541:UYL917594 UOP917541:UOP917594 UET917541:UET917594 TUX917541:TUX917594 TLB917541:TLB917594 TBF917541:TBF917594 SRJ917541:SRJ917594 SHN917541:SHN917594 RXR917541:RXR917594 RNV917541:RNV917594 RDZ917541:RDZ917594 QUD917541:QUD917594 QKH917541:QKH917594 QAL917541:QAL917594 PQP917541:PQP917594 PGT917541:PGT917594 OWX917541:OWX917594 ONB917541:ONB917594 ODF917541:ODF917594 NTJ917541:NTJ917594 NJN917541:NJN917594 MZR917541:MZR917594 MPV917541:MPV917594 MFZ917541:MFZ917594 LWD917541:LWD917594 LMH917541:LMH917594 LCL917541:LCL917594 KSP917541:KSP917594 KIT917541:KIT917594 JYX917541:JYX917594 JPB917541:JPB917594 JFF917541:JFF917594 IVJ917541:IVJ917594 ILN917541:ILN917594 IBR917541:IBR917594 HRV917541:HRV917594 HHZ917541:HHZ917594 GYD917541:GYD917594 GOH917541:GOH917594 GEL917541:GEL917594 FUP917541:FUP917594 FKT917541:FKT917594 FAX917541:FAX917594 ERB917541:ERB917594 EHF917541:EHF917594 DXJ917541:DXJ917594 DNN917541:DNN917594 DDR917541:DDR917594 CTV917541:CTV917594 CJZ917541:CJZ917594 CAD917541:CAD917594 BQH917541:BQH917594 BGL917541:BGL917594 AWP917541:AWP917594 AMT917541:AMT917594 ACX917541:ACX917594 TB917541:TB917594 JF917541:JF917594 J917541:J917594 WVR852005:WVR852058 WLV852005:WLV852058 WBZ852005:WBZ852058 VSD852005:VSD852058 VIH852005:VIH852058 UYL852005:UYL852058 UOP852005:UOP852058 UET852005:UET852058 TUX852005:TUX852058 TLB852005:TLB852058 TBF852005:TBF852058 SRJ852005:SRJ852058 SHN852005:SHN852058 RXR852005:RXR852058 RNV852005:RNV852058 RDZ852005:RDZ852058 QUD852005:QUD852058 QKH852005:QKH852058 QAL852005:QAL852058 PQP852005:PQP852058 PGT852005:PGT852058 OWX852005:OWX852058 ONB852005:ONB852058 ODF852005:ODF852058 NTJ852005:NTJ852058 NJN852005:NJN852058 MZR852005:MZR852058 MPV852005:MPV852058 MFZ852005:MFZ852058 LWD852005:LWD852058 LMH852005:LMH852058 LCL852005:LCL852058 KSP852005:KSP852058 KIT852005:KIT852058 JYX852005:JYX852058 JPB852005:JPB852058 JFF852005:JFF852058 IVJ852005:IVJ852058 ILN852005:ILN852058 IBR852005:IBR852058 HRV852005:HRV852058 HHZ852005:HHZ852058 GYD852005:GYD852058 GOH852005:GOH852058 GEL852005:GEL852058 FUP852005:FUP852058 FKT852005:FKT852058 FAX852005:FAX852058 ERB852005:ERB852058 EHF852005:EHF852058 DXJ852005:DXJ852058 DNN852005:DNN852058 DDR852005:DDR852058 CTV852005:CTV852058 CJZ852005:CJZ852058 CAD852005:CAD852058 BQH852005:BQH852058 BGL852005:BGL852058 AWP852005:AWP852058 AMT852005:AMT852058 ACX852005:ACX852058 TB852005:TB852058 JF852005:JF852058 J852005:J852058 WVR786469:WVR786522 WLV786469:WLV786522 WBZ786469:WBZ786522 VSD786469:VSD786522 VIH786469:VIH786522 UYL786469:UYL786522 UOP786469:UOP786522 UET786469:UET786522 TUX786469:TUX786522 TLB786469:TLB786522 TBF786469:TBF786522 SRJ786469:SRJ786522 SHN786469:SHN786522 RXR786469:RXR786522 RNV786469:RNV786522 RDZ786469:RDZ786522 QUD786469:QUD786522 QKH786469:QKH786522 QAL786469:QAL786522 PQP786469:PQP786522 PGT786469:PGT786522 OWX786469:OWX786522 ONB786469:ONB786522 ODF786469:ODF786522 NTJ786469:NTJ786522 NJN786469:NJN786522 MZR786469:MZR786522 MPV786469:MPV786522 MFZ786469:MFZ786522 LWD786469:LWD786522 LMH786469:LMH786522 LCL786469:LCL786522 KSP786469:KSP786522 KIT786469:KIT786522 JYX786469:JYX786522 JPB786469:JPB786522 JFF786469:JFF786522 IVJ786469:IVJ786522 ILN786469:ILN786522 IBR786469:IBR786522 HRV786469:HRV786522 HHZ786469:HHZ786522 GYD786469:GYD786522 GOH786469:GOH786522 GEL786469:GEL786522 FUP786469:FUP786522 FKT786469:FKT786522 FAX786469:FAX786522 ERB786469:ERB786522 EHF786469:EHF786522 DXJ786469:DXJ786522 DNN786469:DNN786522 DDR786469:DDR786522 CTV786469:CTV786522 CJZ786469:CJZ786522 CAD786469:CAD786522 BQH786469:BQH786522 BGL786469:BGL786522 AWP786469:AWP786522 AMT786469:AMT786522 ACX786469:ACX786522 TB786469:TB786522 JF786469:JF786522 J786469:J786522 WVR720933:WVR720986 WLV720933:WLV720986 WBZ720933:WBZ720986 VSD720933:VSD720986 VIH720933:VIH720986 UYL720933:UYL720986 UOP720933:UOP720986 UET720933:UET720986 TUX720933:TUX720986 TLB720933:TLB720986 TBF720933:TBF720986 SRJ720933:SRJ720986 SHN720933:SHN720986 RXR720933:RXR720986 RNV720933:RNV720986 RDZ720933:RDZ720986 QUD720933:QUD720986 QKH720933:QKH720986 QAL720933:QAL720986 PQP720933:PQP720986 PGT720933:PGT720986 OWX720933:OWX720986 ONB720933:ONB720986 ODF720933:ODF720986 NTJ720933:NTJ720986 NJN720933:NJN720986 MZR720933:MZR720986 MPV720933:MPV720986 MFZ720933:MFZ720986 LWD720933:LWD720986 LMH720933:LMH720986 LCL720933:LCL720986 KSP720933:KSP720986 KIT720933:KIT720986 JYX720933:JYX720986 JPB720933:JPB720986 JFF720933:JFF720986 IVJ720933:IVJ720986 ILN720933:ILN720986 IBR720933:IBR720986 HRV720933:HRV720986 HHZ720933:HHZ720986 GYD720933:GYD720986 GOH720933:GOH720986 GEL720933:GEL720986 FUP720933:FUP720986 FKT720933:FKT720986 FAX720933:FAX720986 ERB720933:ERB720986 EHF720933:EHF720986 DXJ720933:DXJ720986 DNN720933:DNN720986 DDR720933:DDR720986 CTV720933:CTV720986 CJZ720933:CJZ720986 CAD720933:CAD720986 BQH720933:BQH720986 BGL720933:BGL720986 AWP720933:AWP720986 AMT720933:AMT720986 ACX720933:ACX720986 TB720933:TB720986 JF720933:JF720986 J720933:J720986 WVR655397:WVR655450 WLV655397:WLV655450 WBZ655397:WBZ655450 VSD655397:VSD655450 VIH655397:VIH655450 UYL655397:UYL655450 UOP655397:UOP655450 UET655397:UET655450 TUX655397:TUX655450 TLB655397:TLB655450 TBF655397:TBF655450 SRJ655397:SRJ655450 SHN655397:SHN655450 RXR655397:RXR655450 RNV655397:RNV655450 RDZ655397:RDZ655450 QUD655397:QUD655450 QKH655397:QKH655450 QAL655397:QAL655450 PQP655397:PQP655450 PGT655397:PGT655450 OWX655397:OWX655450 ONB655397:ONB655450 ODF655397:ODF655450 NTJ655397:NTJ655450 NJN655397:NJN655450 MZR655397:MZR655450 MPV655397:MPV655450 MFZ655397:MFZ655450 LWD655397:LWD655450 LMH655397:LMH655450 LCL655397:LCL655450 KSP655397:KSP655450 KIT655397:KIT655450 JYX655397:JYX655450 JPB655397:JPB655450 JFF655397:JFF655450 IVJ655397:IVJ655450 ILN655397:ILN655450 IBR655397:IBR655450 HRV655397:HRV655450 HHZ655397:HHZ655450 GYD655397:GYD655450 GOH655397:GOH655450 GEL655397:GEL655450 FUP655397:FUP655450 FKT655397:FKT655450 FAX655397:FAX655450 ERB655397:ERB655450 EHF655397:EHF655450 DXJ655397:DXJ655450 DNN655397:DNN655450 DDR655397:DDR655450 CTV655397:CTV655450 CJZ655397:CJZ655450 CAD655397:CAD655450 BQH655397:BQH655450 BGL655397:BGL655450 AWP655397:AWP655450 AMT655397:AMT655450 ACX655397:ACX655450 TB655397:TB655450 JF655397:JF655450 J655397:J655450 WVR589861:WVR589914 WLV589861:WLV589914 WBZ589861:WBZ589914 VSD589861:VSD589914 VIH589861:VIH589914 UYL589861:UYL589914 UOP589861:UOP589914 UET589861:UET589914 TUX589861:TUX589914 TLB589861:TLB589914 TBF589861:TBF589914 SRJ589861:SRJ589914 SHN589861:SHN589914 RXR589861:RXR589914 RNV589861:RNV589914 RDZ589861:RDZ589914 QUD589861:QUD589914 QKH589861:QKH589914 QAL589861:QAL589914 PQP589861:PQP589914 PGT589861:PGT589914 OWX589861:OWX589914 ONB589861:ONB589914 ODF589861:ODF589914 NTJ589861:NTJ589914 NJN589861:NJN589914 MZR589861:MZR589914 MPV589861:MPV589914 MFZ589861:MFZ589914 LWD589861:LWD589914 LMH589861:LMH589914 LCL589861:LCL589914 KSP589861:KSP589914 KIT589861:KIT589914 JYX589861:JYX589914 JPB589861:JPB589914 JFF589861:JFF589914 IVJ589861:IVJ589914 ILN589861:ILN589914 IBR589861:IBR589914 HRV589861:HRV589914 HHZ589861:HHZ589914 GYD589861:GYD589914 GOH589861:GOH589914 GEL589861:GEL589914 FUP589861:FUP589914 FKT589861:FKT589914 FAX589861:FAX589914 ERB589861:ERB589914 EHF589861:EHF589914 DXJ589861:DXJ589914 DNN589861:DNN589914 DDR589861:DDR589914 CTV589861:CTV589914 CJZ589861:CJZ589914 CAD589861:CAD589914 BQH589861:BQH589914 BGL589861:BGL589914 AWP589861:AWP589914 AMT589861:AMT589914 ACX589861:ACX589914 TB589861:TB589914 JF589861:JF589914 J589861:J589914 WVR524325:WVR524378 WLV524325:WLV524378 WBZ524325:WBZ524378 VSD524325:VSD524378 VIH524325:VIH524378 UYL524325:UYL524378 UOP524325:UOP524378 UET524325:UET524378 TUX524325:TUX524378 TLB524325:TLB524378 TBF524325:TBF524378 SRJ524325:SRJ524378 SHN524325:SHN524378 RXR524325:RXR524378 RNV524325:RNV524378 RDZ524325:RDZ524378 QUD524325:QUD524378 QKH524325:QKH524378 QAL524325:QAL524378 PQP524325:PQP524378 PGT524325:PGT524378 OWX524325:OWX524378 ONB524325:ONB524378 ODF524325:ODF524378 NTJ524325:NTJ524378 NJN524325:NJN524378 MZR524325:MZR524378 MPV524325:MPV524378 MFZ524325:MFZ524378 LWD524325:LWD524378 LMH524325:LMH524378 LCL524325:LCL524378 KSP524325:KSP524378 KIT524325:KIT524378 JYX524325:JYX524378 JPB524325:JPB524378 JFF524325:JFF524378 IVJ524325:IVJ524378 ILN524325:ILN524378 IBR524325:IBR524378 HRV524325:HRV524378 HHZ524325:HHZ524378 GYD524325:GYD524378 GOH524325:GOH524378 GEL524325:GEL524378 FUP524325:FUP524378 FKT524325:FKT524378 FAX524325:FAX524378 ERB524325:ERB524378 EHF524325:EHF524378 DXJ524325:DXJ524378 DNN524325:DNN524378 DDR524325:DDR524378 CTV524325:CTV524378 CJZ524325:CJZ524378 CAD524325:CAD524378 BQH524325:BQH524378 BGL524325:BGL524378 AWP524325:AWP524378 AMT524325:AMT524378 ACX524325:ACX524378 TB524325:TB524378 JF524325:JF524378 J524325:J524378 WVR458789:WVR458842 WLV458789:WLV458842 WBZ458789:WBZ458842 VSD458789:VSD458842 VIH458789:VIH458842 UYL458789:UYL458842 UOP458789:UOP458842 UET458789:UET458842 TUX458789:TUX458842 TLB458789:TLB458842 TBF458789:TBF458842 SRJ458789:SRJ458842 SHN458789:SHN458842 RXR458789:RXR458842 RNV458789:RNV458842 RDZ458789:RDZ458842 QUD458789:QUD458842 QKH458789:QKH458842 QAL458789:QAL458842 PQP458789:PQP458842 PGT458789:PGT458842 OWX458789:OWX458842 ONB458789:ONB458842 ODF458789:ODF458842 NTJ458789:NTJ458842 NJN458789:NJN458842 MZR458789:MZR458842 MPV458789:MPV458842 MFZ458789:MFZ458842 LWD458789:LWD458842 LMH458789:LMH458842 LCL458789:LCL458842 KSP458789:KSP458842 KIT458789:KIT458842 JYX458789:JYX458842 JPB458789:JPB458842 JFF458789:JFF458842 IVJ458789:IVJ458842 ILN458789:ILN458842 IBR458789:IBR458842 HRV458789:HRV458842 HHZ458789:HHZ458842 GYD458789:GYD458842 GOH458789:GOH458842 GEL458789:GEL458842 FUP458789:FUP458842 FKT458789:FKT458842 FAX458789:FAX458842 ERB458789:ERB458842 EHF458789:EHF458842 DXJ458789:DXJ458842 DNN458789:DNN458842 DDR458789:DDR458842 CTV458789:CTV458842 CJZ458789:CJZ458842 CAD458789:CAD458842 BQH458789:BQH458842 BGL458789:BGL458842 AWP458789:AWP458842 AMT458789:AMT458842 ACX458789:ACX458842 TB458789:TB458842 JF458789:JF458842 J458789:J458842 WVR393253:WVR393306 WLV393253:WLV393306 WBZ393253:WBZ393306 VSD393253:VSD393306 VIH393253:VIH393306 UYL393253:UYL393306 UOP393253:UOP393306 UET393253:UET393306 TUX393253:TUX393306 TLB393253:TLB393306 TBF393253:TBF393306 SRJ393253:SRJ393306 SHN393253:SHN393306 RXR393253:RXR393306 RNV393253:RNV393306 RDZ393253:RDZ393306 QUD393253:QUD393306 QKH393253:QKH393306 QAL393253:QAL393306 PQP393253:PQP393306 PGT393253:PGT393306 OWX393253:OWX393306 ONB393253:ONB393306 ODF393253:ODF393306 NTJ393253:NTJ393306 NJN393253:NJN393306 MZR393253:MZR393306 MPV393253:MPV393306 MFZ393253:MFZ393306 LWD393253:LWD393306 LMH393253:LMH393306 LCL393253:LCL393306 KSP393253:KSP393306 KIT393253:KIT393306 JYX393253:JYX393306 JPB393253:JPB393306 JFF393253:JFF393306 IVJ393253:IVJ393306 ILN393253:ILN393306 IBR393253:IBR393306 HRV393253:HRV393306 HHZ393253:HHZ393306 GYD393253:GYD393306 GOH393253:GOH393306 GEL393253:GEL393306 FUP393253:FUP393306 FKT393253:FKT393306 FAX393253:FAX393306 ERB393253:ERB393306 EHF393253:EHF393306 DXJ393253:DXJ393306 DNN393253:DNN393306 DDR393253:DDR393306 CTV393253:CTV393306 CJZ393253:CJZ393306 CAD393253:CAD393306 BQH393253:BQH393306 BGL393253:BGL393306 AWP393253:AWP393306 AMT393253:AMT393306 ACX393253:ACX393306 TB393253:TB393306 JF393253:JF393306 J393253:J393306 WVR327717:WVR327770 WLV327717:WLV327770 WBZ327717:WBZ327770 VSD327717:VSD327770 VIH327717:VIH327770 UYL327717:UYL327770 UOP327717:UOP327770 UET327717:UET327770 TUX327717:TUX327770 TLB327717:TLB327770 TBF327717:TBF327770 SRJ327717:SRJ327770 SHN327717:SHN327770 RXR327717:RXR327770 RNV327717:RNV327770 RDZ327717:RDZ327770 QUD327717:QUD327770 QKH327717:QKH327770 QAL327717:QAL327770 PQP327717:PQP327770 PGT327717:PGT327770 OWX327717:OWX327770 ONB327717:ONB327770 ODF327717:ODF327770 NTJ327717:NTJ327770 NJN327717:NJN327770 MZR327717:MZR327770 MPV327717:MPV327770 MFZ327717:MFZ327770 LWD327717:LWD327770 LMH327717:LMH327770 LCL327717:LCL327770 KSP327717:KSP327770 KIT327717:KIT327770 JYX327717:JYX327770 JPB327717:JPB327770 JFF327717:JFF327770 IVJ327717:IVJ327770 ILN327717:ILN327770 IBR327717:IBR327770 HRV327717:HRV327770 HHZ327717:HHZ327770 GYD327717:GYD327770 GOH327717:GOH327770 GEL327717:GEL327770 FUP327717:FUP327770 FKT327717:FKT327770 FAX327717:FAX327770 ERB327717:ERB327770 EHF327717:EHF327770 DXJ327717:DXJ327770 DNN327717:DNN327770 DDR327717:DDR327770 CTV327717:CTV327770 CJZ327717:CJZ327770 CAD327717:CAD327770 BQH327717:BQH327770 BGL327717:BGL327770 AWP327717:AWP327770 AMT327717:AMT327770 ACX327717:ACX327770 TB327717:TB327770 JF327717:JF327770 J327717:J327770 WVR262181:WVR262234 WLV262181:WLV262234 WBZ262181:WBZ262234 VSD262181:VSD262234 VIH262181:VIH262234 UYL262181:UYL262234 UOP262181:UOP262234 UET262181:UET262234 TUX262181:TUX262234 TLB262181:TLB262234 TBF262181:TBF262234 SRJ262181:SRJ262234 SHN262181:SHN262234 RXR262181:RXR262234 RNV262181:RNV262234 RDZ262181:RDZ262234 QUD262181:QUD262234 QKH262181:QKH262234 QAL262181:QAL262234 PQP262181:PQP262234 PGT262181:PGT262234 OWX262181:OWX262234 ONB262181:ONB262234 ODF262181:ODF262234 NTJ262181:NTJ262234 NJN262181:NJN262234 MZR262181:MZR262234 MPV262181:MPV262234 MFZ262181:MFZ262234 LWD262181:LWD262234 LMH262181:LMH262234 LCL262181:LCL262234 KSP262181:KSP262234 KIT262181:KIT262234 JYX262181:JYX262234 JPB262181:JPB262234 JFF262181:JFF262234 IVJ262181:IVJ262234 ILN262181:ILN262234 IBR262181:IBR262234 HRV262181:HRV262234 HHZ262181:HHZ262234 GYD262181:GYD262234 GOH262181:GOH262234 GEL262181:GEL262234 FUP262181:FUP262234 FKT262181:FKT262234 FAX262181:FAX262234 ERB262181:ERB262234 EHF262181:EHF262234 DXJ262181:DXJ262234 DNN262181:DNN262234 DDR262181:DDR262234 CTV262181:CTV262234 CJZ262181:CJZ262234 CAD262181:CAD262234 BQH262181:BQH262234 BGL262181:BGL262234 AWP262181:AWP262234 AMT262181:AMT262234 ACX262181:ACX262234 TB262181:TB262234 JF262181:JF262234 J262181:J262234 WVR196645:WVR196698 WLV196645:WLV196698 WBZ196645:WBZ196698 VSD196645:VSD196698 VIH196645:VIH196698 UYL196645:UYL196698 UOP196645:UOP196698 UET196645:UET196698 TUX196645:TUX196698 TLB196645:TLB196698 TBF196645:TBF196698 SRJ196645:SRJ196698 SHN196645:SHN196698 RXR196645:RXR196698 RNV196645:RNV196698 RDZ196645:RDZ196698 QUD196645:QUD196698 QKH196645:QKH196698 QAL196645:QAL196698 PQP196645:PQP196698 PGT196645:PGT196698 OWX196645:OWX196698 ONB196645:ONB196698 ODF196645:ODF196698 NTJ196645:NTJ196698 NJN196645:NJN196698 MZR196645:MZR196698 MPV196645:MPV196698 MFZ196645:MFZ196698 LWD196645:LWD196698 LMH196645:LMH196698 LCL196645:LCL196698 KSP196645:KSP196698 KIT196645:KIT196698 JYX196645:JYX196698 JPB196645:JPB196698 JFF196645:JFF196698 IVJ196645:IVJ196698 ILN196645:ILN196698 IBR196645:IBR196698 HRV196645:HRV196698 HHZ196645:HHZ196698 GYD196645:GYD196698 GOH196645:GOH196698 GEL196645:GEL196698 FUP196645:FUP196698 FKT196645:FKT196698 FAX196645:FAX196698 ERB196645:ERB196698 EHF196645:EHF196698 DXJ196645:DXJ196698 DNN196645:DNN196698 DDR196645:DDR196698 CTV196645:CTV196698 CJZ196645:CJZ196698 CAD196645:CAD196698 BQH196645:BQH196698 BGL196645:BGL196698 AWP196645:AWP196698 AMT196645:AMT196698 ACX196645:ACX196698 TB196645:TB196698 JF196645:JF196698 J196645:J196698 WVR131109:WVR131162 WLV131109:WLV131162 WBZ131109:WBZ131162 VSD131109:VSD131162 VIH131109:VIH131162 UYL131109:UYL131162 UOP131109:UOP131162 UET131109:UET131162 TUX131109:TUX131162 TLB131109:TLB131162 TBF131109:TBF131162 SRJ131109:SRJ131162 SHN131109:SHN131162 RXR131109:RXR131162 RNV131109:RNV131162 RDZ131109:RDZ131162 QUD131109:QUD131162 QKH131109:QKH131162 QAL131109:QAL131162 PQP131109:PQP131162 PGT131109:PGT131162 OWX131109:OWX131162 ONB131109:ONB131162 ODF131109:ODF131162 NTJ131109:NTJ131162 NJN131109:NJN131162 MZR131109:MZR131162 MPV131109:MPV131162 MFZ131109:MFZ131162 LWD131109:LWD131162 LMH131109:LMH131162 LCL131109:LCL131162 KSP131109:KSP131162 KIT131109:KIT131162 JYX131109:JYX131162 JPB131109:JPB131162 JFF131109:JFF131162 IVJ131109:IVJ131162 ILN131109:ILN131162 IBR131109:IBR131162 HRV131109:HRV131162 HHZ131109:HHZ131162 GYD131109:GYD131162 GOH131109:GOH131162 GEL131109:GEL131162 FUP131109:FUP131162 FKT131109:FKT131162 FAX131109:FAX131162 ERB131109:ERB131162 EHF131109:EHF131162 DXJ131109:DXJ131162 DNN131109:DNN131162 DDR131109:DDR131162 CTV131109:CTV131162 CJZ131109:CJZ131162 CAD131109:CAD131162 BQH131109:BQH131162 BGL131109:BGL131162 AWP131109:AWP131162 AMT131109:AMT131162 ACX131109:ACX131162 TB131109:TB131162 JF131109:JF131162 J131109:J131162 WVR65573:WVR65626 WLV65573:WLV65626 WBZ65573:WBZ65626 VSD65573:VSD65626 VIH65573:VIH65626 UYL65573:UYL65626 UOP65573:UOP65626 UET65573:UET65626 TUX65573:TUX65626 TLB65573:TLB65626 TBF65573:TBF65626 SRJ65573:SRJ65626 SHN65573:SHN65626 RXR65573:RXR65626 RNV65573:RNV65626 RDZ65573:RDZ65626 QUD65573:QUD65626 QKH65573:QKH65626 QAL65573:QAL65626 PQP65573:PQP65626 PGT65573:PGT65626 OWX65573:OWX65626 ONB65573:ONB65626 ODF65573:ODF65626 NTJ65573:NTJ65626 NJN65573:NJN65626 MZR65573:MZR65626 MPV65573:MPV65626 MFZ65573:MFZ65626 LWD65573:LWD65626 LMH65573:LMH65626 LCL65573:LCL65626 KSP65573:KSP65626 KIT65573:KIT65626 JYX65573:JYX65626 JPB65573:JPB65626 JFF65573:JFF65626 IVJ65573:IVJ65626 ILN65573:ILN65626 IBR65573:IBR65626 HRV65573:HRV65626 HHZ65573:HHZ65626 GYD65573:GYD65626 GOH65573:GOH65626 GEL65573:GEL65626 FUP65573:FUP65626 FKT65573:FKT65626 FAX65573:FAX65626 ERB65573:ERB65626 EHF65573:EHF65626 DXJ65573:DXJ65626 DNN65573:DNN65626 DDR65573:DDR65626 CTV65573:CTV65626 CJZ65573:CJZ65626 CAD65573:CAD65626 BQH65573:BQH65626 BGL65573:BGL65626 AWP65573:AWP65626 AMT65573:AMT65626 ACX65573:ACX65626 TB65573:TB65626 JF65573:JF65626 J65573:J65626 WVR24:WVR78 WLV24:WLV78 WBZ24:WBZ78 VSD24:VSD78 VIH24:VIH78 UYL24:UYL78 UOP24:UOP78 UET24:UET78 TUX24:TUX78 TLB24:TLB78 TBF24:TBF78 SRJ24:SRJ78 SHN24:SHN78 RXR24:RXR78 RNV24:RNV78 RDZ24:RDZ78 QUD24:QUD78 QKH24:QKH78 QAL24:QAL78 PQP24:PQP78 PGT24:PGT78 OWX24:OWX78 ONB24:ONB78 ODF24:ODF78 NTJ24:NTJ78 NJN24:NJN78 MZR24:MZR78 MPV24:MPV78 MFZ24:MFZ78 LWD24:LWD78 LMH24:LMH78 LCL24:LCL78 KSP24:KSP78 KIT24:KIT78 JYX24:JYX78 JPB24:JPB78 JFF24:JFF78 IVJ24:IVJ78 ILN24:ILN78 IBR24:IBR78 HRV24:HRV78 HHZ24:HHZ78 GYD24:GYD78 GOH24:GOH78 GEL24:GEL78 FUP24:FUP78 FKT24:FKT78 FAX24:FAX78 ERB24:ERB78 EHF24:EHF78 DXJ24:DXJ78 DNN24:DNN78 DDR24:DDR78 CTV24:CTV78 CJZ24:CJZ78 CAD24:CAD78 BQH24:BQH78 BGL24:BGL78 AWP24:AWP78 AMT24:AMT78 ACX24:ACX78 TB24:TB78 JF24:JF78" xr:uid="{00000000-0002-0000-0800-000002000000}">
      <formula1>$A$195:$A$198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FFFF00"/>
  </sheetPr>
  <dimension ref="A1:Q121"/>
  <sheetViews>
    <sheetView zoomScale="55" zoomScaleNormal="55" workbookViewId="0">
      <selection activeCell="K12" sqref="K12"/>
    </sheetView>
  </sheetViews>
  <sheetFormatPr baseColWidth="10" defaultColWidth="16.140625" defaultRowHeight="15" x14ac:dyDescent="0.25"/>
  <cols>
    <col min="1" max="1" width="37.5703125" style="391" customWidth="1"/>
    <col min="2" max="2" width="28.42578125" style="391" customWidth="1"/>
    <col min="3" max="4" width="28.42578125" style="391" hidden="1" customWidth="1"/>
    <col min="5" max="5" width="27" style="391" customWidth="1"/>
    <col min="6" max="6" width="23.28515625" style="391" customWidth="1"/>
    <col min="7" max="7" width="21.28515625" style="391" customWidth="1"/>
    <col min="8" max="8" width="38.42578125" style="391" customWidth="1"/>
    <col min="9" max="9" width="19.140625" style="391" customWidth="1"/>
    <col min="10" max="10" width="23.140625" style="315" customWidth="1"/>
    <col min="11" max="11" width="28.42578125" style="391" customWidth="1"/>
    <col min="12" max="12" width="23.7109375" style="391" customWidth="1"/>
    <col min="13" max="13" width="25.7109375" style="391" customWidth="1"/>
    <col min="14" max="14" width="14.42578125" style="391" customWidth="1"/>
    <col min="15" max="234" width="11.42578125" style="391" customWidth="1"/>
    <col min="235" max="16384" width="16.140625" style="391"/>
  </cols>
  <sheetData>
    <row r="1" spans="1:17" ht="15.75" x14ac:dyDescent="0.25">
      <c r="A1" s="597"/>
      <c r="E1" s="2217"/>
      <c r="F1" s="2217"/>
      <c r="G1" s="2217"/>
      <c r="H1" s="2217"/>
      <c r="I1" s="2217"/>
      <c r="J1" s="2217"/>
      <c r="K1" s="2217"/>
      <c r="L1" s="2217"/>
    </row>
    <row r="2" spans="1:17" ht="50.25" customHeight="1" x14ac:dyDescent="0.25">
      <c r="A2" s="2218"/>
      <c r="B2" s="2221" t="s">
        <v>1597</v>
      </c>
      <c r="C2" s="2222"/>
      <c r="D2" s="2222"/>
      <c r="E2" s="2222"/>
      <c r="F2" s="2222"/>
      <c r="G2" s="2222"/>
      <c r="H2" s="2223"/>
      <c r="I2" s="2227" t="s">
        <v>1603</v>
      </c>
      <c r="J2" s="2228"/>
    </row>
    <row r="3" spans="1:17" ht="43.5" customHeight="1" x14ac:dyDescent="0.25">
      <c r="A3" s="2218"/>
      <c r="B3" s="2224"/>
      <c r="C3" s="2225"/>
      <c r="D3" s="2225"/>
      <c r="E3" s="2225"/>
      <c r="F3" s="2225"/>
      <c r="G3" s="2225"/>
      <c r="H3" s="2226"/>
      <c r="I3" s="2227" t="s">
        <v>1731</v>
      </c>
      <c r="J3" s="2228"/>
    </row>
    <row r="4" spans="1:17" x14ac:dyDescent="0.25">
      <c r="A4" s="597"/>
      <c r="B4" s="597"/>
      <c r="C4" s="597"/>
      <c r="D4" s="597"/>
      <c r="E4" s="597"/>
      <c r="F4" s="597"/>
      <c r="G4" s="597"/>
      <c r="H4" s="598"/>
      <c r="I4" s="598"/>
      <c r="J4" s="597"/>
      <c r="L4" s="598"/>
    </row>
    <row r="5" spans="1:17" ht="37.15" customHeight="1" x14ac:dyDescent="0.25">
      <c r="A5" s="599" t="s">
        <v>1</v>
      </c>
      <c r="B5" s="2219" t="str">
        <f>+FENECIMIENTO!D5</f>
        <v xml:space="preserve">262 - Empresa de Transporte del Tercer Milenio - Transmilenio S.A. </v>
      </c>
      <c r="C5" s="2220"/>
      <c r="D5" s="2220"/>
      <c r="E5" s="2220"/>
      <c r="F5" s="2220"/>
      <c r="G5" s="300"/>
      <c r="H5" s="300"/>
      <c r="I5" s="300"/>
      <c r="J5" s="300"/>
      <c r="L5" s="598"/>
    </row>
    <row r="6" spans="1:17" ht="33.75" customHeight="1" x14ac:dyDescent="0.25">
      <c r="A6" s="599" t="s">
        <v>964</v>
      </c>
      <c r="B6" s="2213" t="s">
        <v>1659</v>
      </c>
      <c r="C6" s="2213"/>
      <c r="D6" s="2213"/>
      <c r="E6" s="2213"/>
      <c r="F6" s="2213"/>
      <c r="G6" s="600" t="s">
        <v>754</v>
      </c>
      <c r="H6" s="1856">
        <f>+FENECIMIENTO!K5</f>
        <v>2024</v>
      </c>
      <c r="I6" s="1856"/>
      <c r="J6" s="1856"/>
      <c r="L6" s="598"/>
    </row>
    <row r="7" spans="1:17" ht="39" customHeight="1" x14ac:dyDescent="0.25">
      <c r="A7" s="599" t="s">
        <v>965</v>
      </c>
      <c r="B7" s="2214">
        <f>+FENECIMIENTO!D7</f>
        <v>45693</v>
      </c>
      <c r="C7" s="2213"/>
      <c r="D7" s="2213"/>
      <c r="E7" s="2213"/>
      <c r="F7" s="2213"/>
      <c r="G7" s="600" t="s">
        <v>122</v>
      </c>
      <c r="H7" s="2214">
        <f>+FENECIMIENTO!K7</f>
        <v>45693</v>
      </c>
      <c r="I7" s="2213"/>
      <c r="J7" s="2213"/>
      <c r="L7" s="598"/>
    </row>
    <row r="8" spans="1:17" ht="15.75" customHeight="1" x14ac:dyDescent="0.25">
      <c r="A8" s="2215"/>
      <c r="B8" s="2215"/>
      <c r="C8" s="2215"/>
      <c r="D8" s="2215"/>
      <c r="E8" s="2215"/>
      <c r="F8" s="2215"/>
      <c r="G8" s="2215"/>
      <c r="H8" s="2215"/>
      <c r="I8" s="2215"/>
      <c r="J8" s="2215"/>
      <c r="K8" s="601"/>
    </row>
    <row r="9" spans="1:17" ht="18" x14ac:dyDescent="0.25">
      <c r="A9" s="2216" t="s">
        <v>966</v>
      </c>
      <c r="B9" s="2216"/>
      <c r="C9" s="2216"/>
      <c r="D9" s="2216"/>
      <c r="E9" s="2216"/>
      <c r="F9" s="2216"/>
      <c r="G9" s="2216"/>
      <c r="H9" s="2216"/>
      <c r="I9" s="2216"/>
      <c r="J9" s="2216"/>
      <c r="K9" s="602"/>
    </row>
    <row r="10" spans="1:17" ht="33.75" customHeight="1" x14ac:dyDescent="0.25">
      <c r="A10" s="2183" t="s">
        <v>967</v>
      </c>
      <c r="B10" s="2185" t="s">
        <v>968</v>
      </c>
      <c r="C10" s="2185" t="s">
        <v>969</v>
      </c>
      <c r="D10" s="2185" t="s">
        <v>970</v>
      </c>
      <c r="E10" s="2187" t="s">
        <v>971</v>
      </c>
      <c r="F10" s="2187" t="s">
        <v>972</v>
      </c>
      <c r="G10" s="2178" t="s">
        <v>973</v>
      </c>
      <c r="H10" s="2179"/>
      <c r="I10" s="2178" t="s">
        <v>974</v>
      </c>
      <c r="J10" s="2180"/>
      <c r="K10" s="603"/>
    </row>
    <row r="11" spans="1:17" ht="23.25" customHeight="1" x14ac:dyDescent="0.25">
      <c r="A11" s="2184"/>
      <c r="B11" s="2186"/>
      <c r="C11" s="2186"/>
      <c r="D11" s="2186"/>
      <c r="E11" s="2187"/>
      <c r="F11" s="2187"/>
      <c r="G11" s="2181" t="s">
        <v>192</v>
      </c>
      <c r="H11" s="2181" t="s">
        <v>194</v>
      </c>
      <c r="I11" s="2182" t="s">
        <v>975</v>
      </c>
      <c r="J11" s="2182" t="s">
        <v>976</v>
      </c>
      <c r="K11" s="603"/>
      <c r="L11" s="604"/>
      <c r="M11" s="605"/>
      <c r="N11" s="606"/>
      <c r="O11" s="606"/>
      <c r="P11" s="606"/>
      <c r="Q11" s="606"/>
    </row>
    <row r="12" spans="1:17" ht="25.5" customHeight="1" x14ac:dyDescent="0.25">
      <c r="A12" s="2184"/>
      <c r="B12" s="2186"/>
      <c r="C12" s="2186"/>
      <c r="D12" s="2186"/>
      <c r="E12" s="2185"/>
      <c r="F12" s="2185"/>
      <c r="G12" s="2181"/>
      <c r="H12" s="2181"/>
      <c r="I12" s="2182"/>
      <c r="J12" s="2182"/>
      <c r="K12" s="603"/>
      <c r="L12" s="604"/>
      <c r="M12" s="607"/>
      <c r="N12" s="607"/>
      <c r="O12" s="608"/>
      <c r="P12" s="608"/>
      <c r="Q12" s="608"/>
    </row>
    <row r="13" spans="1:17" ht="44.25" customHeight="1" x14ac:dyDescent="0.25">
      <c r="A13" s="609" t="s">
        <v>977</v>
      </c>
      <c r="B13" s="610">
        <v>0.35</v>
      </c>
      <c r="C13" s="610">
        <f>IF(ISNUMBER(G13),$B13,0)</f>
        <v>0.35</v>
      </c>
      <c r="D13" s="610">
        <f>IF(ISNUMBER(H13),$B13,0)</f>
        <v>0.35</v>
      </c>
      <c r="E13" s="610">
        <f>IFERROR(C13/C$17,"")</f>
        <v>1</v>
      </c>
      <c r="F13" s="611">
        <f>IFERROR(D13/$D$17,"")</f>
        <v>1</v>
      </c>
      <c r="G13" s="612">
        <f>IFERROR(AVERAGEIF($I$34:$I$63,"EFICACIA",$M$34:$M$63),"")</f>
        <v>0.79285714285714282</v>
      </c>
      <c r="H13" s="613">
        <f>IFERROR(AVERAGEIF($I$34:$I$63,"EFICIENCIA",$M34:$M63),"")</f>
        <v>0.78333333333333321</v>
      </c>
      <c r="I13" s="614">
        <f>IFERROR(G13*$E13,"")</f>
        <v>0.79285714285714282</v>
      </c>
      <c r="J13" s="614">
        <f>IFERROR(H13*$F13,"")</f>
        <v>0.78333333333333321</v>
      </c>
      <c r="K13" s="615"/>
      <c r="L13" s="604"/>
      <c r="M13" s="607"/>
      <c r="N13" s="607"/>
      <c r="O13" s="608"/>
      <c r="P13" s="608"/>
      <c r="Q13" s="608"/>
    </row>
    <row r="14" spans="1:17" ht="56.25" customHeight="1" x14ac:dyDescent="0.25">
      <c r="A14" s="609" t="s">
        <v>978</v>
      </c>
      <c r="B14" s="610">
        <v>0.15</v>
      </c>
      <c r="C14" s="610">
        <f t="shared" ref="C14:D16" si="0">IF(ISNUMBER(G14),$B14,0)</f>
        <v>0</v>
      </c>
      <c r="D14" s="610">
        <f t="shared" si="0"/>
        <v>0</v>
      </c>
      <c r="E14" s="610">
        <f>IFERROR(C14/C$17,"")</f>
        <v>0</v>
      </c>
      <c r="F14" s="611">
        <f>IFERROR(D14/$D$17,"")</f>
        <v>0</v>
      </c>
      <c r="G14" s="612" t="str">
        <f>IFERROR(AVERAGEIF($I$65:$I$74,"EFICACIA",$M$65:$M$74),"")</f>
        <v/>
      </c>
      <c r="H14" s="613" t="str">
        <f>IFERROR(AVERAGEIF($I$65:$I$74,"EFICIENCIA",$M$65:$M$74),"")</f>
        <v/>
      </c>
      <c r="I14" s="614" t="str">
        <f>IFERROR(G14*$E14,"")</f>
        <v/>
      </c>
      <c r="J14" s="614" t="str">
        <f>IFERROR(H14*$F14,"")</f>
        <v/>
      </c>
      <c r="K14" s="615"/>
      <c r="L14" s="604"/>
      <c r="M14" s="607"/>
      <c r="N14" s="607"/>
      <c r="O14" s="608"/>
      <c r="P14" s="608"/>
      <c r="Q14" s="608"/>
    </row>
    <row r="15" spans="1:17" ht="40.5" customHeight="1" x14ac:dyDescent="0.25">
      <c r="A15" s="609" t="s">
        <v>979</v>
      </c>
      <c r="B15" s="610">
        <v>0.15</v>
      </c>
      <c r="C15" s="610">
        <f t="shared" si="0"/>
        <v>0</v>
      </c>
      <c r="D15" s="610">
        <f t="shared" si="0"/>
        <v>0</v>
      </c>
      <c r="E15" s="610">
        <f>IFERROR(C15/C$17,"")</f>
        <v>0</v>
      </c>
      <c r="F15" s="611">
        <f>IFERROR(D15/$D$17,"")</f>
        <v>0</v>
      </c>
      <c r="G15" s="612" t="str">
        <f>IFERROR(AVERAGEIF($I$75:$I$81,"EFICACIA",$M$75:$M$81),"")</f>
        <v/>
      </c>
      <c r="H15" s="613" t="str">
        <f>IFERROR(AVERAGEIF($I$75:$I$81,"EFICIENCIA",$M75:$M81),"")</f>
        <v/>
      </c>
      <c r="I15" s="614" t="str">
        <f>IFERROR(G15*$E15,"")</f>
        <v/>
      </c>
      <c r="J15" s="614" t="str">
        <f>IFERROR(H15*$F15,"")</f>
        <v/>
      </c>
      <c r="K15" s="615"/>
      <c r="L15" s="604"/>
      <c r="M15" s="607"/>
      <c r="N15" s="607"/>
      <c r="O15" s="608"/>
      <c r="P15" s="608"/>
      <c r="Q15" s="608"/>
    </row>
    <row r="16" spans="1:17" ht="40.5" customHeight="1" x14ac:dyDescent="0.25">
      <c r="A16" s="609" t="s">
        <v>980</v>
      </c>
      <c r="B16" s="610">
        <v>0.35</v>
      </c>
      <c r="C16" s="610">
        <f t="shared" si="0"/>
        <v>0</v>
      </c>
      <c r="D16" s="610">
        <f t="shared" si="0"/>
        <v>0</v>
      </c>
      <c r="E16" s="610">
        <f>IFERROR(C16/C$17,"")</f>
        <v>0</v>
      </c>
      <c r="F16" s="611">
        <f>IFERROR(D16/$D$17,"")</f>
        <v>0</v>
      </c>
      <c r="G16" s="612" t="str">
        <f>IFERROR(AVERAGEIF($I$82:$I$87,"EFICACIA",$M$82:$M$87),"")</f>
        <v/>
      </c>
      <c r="H16" s="613" t="str">
        <f>IFERROR(AVERAGEIF($I$82:$I$87,"EFICIENCIA",$M$82:$M$87),"")</f>
        <v/>
      </c>
      <c r="I16" s="614" t="str">
        <f>IFERROR(G16*$E16,"")</f>
        <v/>
      </c>
      <c r="J16" s="614" t="str">
        <f>IFERROR(H16*$F16,"")</f>
        <v/>
      </c>
      <c r="K16" s="615"/>
      <c r="L16" s="604"/>
      <c r="M16" s="607"/>
      <c r="N16" s="607"/>
      <c r="O16" s="608"/>
      <c r="P16" s="608"/>
      <c r="Q16" s="608"/>
    </row>
    <row r="17" spans="1:17" ht="23.25" x14ac:dyDescent="0.25">
      <c r="A17" s="616" t="s">
        <v>981</v>
      </c>
      <c r="B17" s="617">
        <f>SUM(B13:B16)</f>
        <v>1</v>
      </c>
      <c r="C17" s="617">
        <f>SUM(C13:C16)</f>
        <v>0.35</v>
      </c>
      <c r="D17" s="617">
        <f>SUM(D13:D16)</f>
        <v>0.35</v>
      </c>
      <c r="E17" s="617">
        <f>SUM(E13:E16)</f>
        <v>1</v>
      </c>
      <c r="F17" s="618">
        <f>SUM(F13:F16)</f>
        <v>1</v>
      </c>
      <c r="G17" s="2176" t="s">
        <v>199</v>
      </c>
      <c r="H17" s="2177"/>
      <c r="I17" s="619">
        <f>IF(COUNT(I13:I16)&gt;0,SUM(I13:I16),"")</f>
        <v>0.79285714285714282</v>
      </c>
      <c r="J17" s="619">
        <f>IF(COUNT(J13:J16)&gt;0,SUM(J13:J16),"")</f>
        <v>0.78333333333333321</v>
      </c>
      <c r="K17" s="620"/>
      <c r="L17" s="604"/>
      <c r="M17" s="621"/>
      <c r="N17" s="622"/>
      <c r="O17" s="622"/>
      <c r="Q17" s="608"/>
    </row>
    <row r="18" spans="1:17" ht="34.5" customHeight="1" thickBot="1" x14ac:dyDescent="0.3">
      <c r="A18" s="623"/>
      <c r="B18" s="602"/>
      <c r="C18" s="602"/>
      <c r="D18" s="602"/>
      <c r="E18" s="602"/>
      <c r="F18" s="602"/>
      <c r="G18" s="2188" t="str">
        <f>IF(ISNUMBER(I18),IF(I18&gt;=75%,"EFECTIVO","INEFECTIVO"),"")</f>
        <v>EFECTIVO</v>
      </c>
      <c r="H18" s="2189"/>
      <c r="I18" s="2190">
        <f>IFERROR(AVERAGE(I17:J17),"")</f>
        <v>0.78809523809523796</v>
      </c>
      <c r="J18" s="2191"/>
      <c r="K18" s="602"/>
      <c r="L18" s="604"/>
      <c r="M18" s="604"/>
      <c r="N18" s="624"/>
    </row>
    <row r="19" spans="1:17" ht="21" customHeight="1" x14ac:dyDescent="0.25">
      <c r="A19" s="625"/>
      <c r="E19" s="602"/>
      <c r="F19" s="602"/>
      <c r="G19" s="626" t="s">
        <v>287</v>
      </c>
      <c r="H19" s="627" t="s">
        <v>982</v>
      </c>
      <c r="I19" s="602"/>
      <c r="J19" s="628"/>
      <c r="K19" s="602"/>
    </row>
    <row r="20" spans="1:17" ht="21.75" customHeight="1" thickBot="1" x14ac:dyDescent="0.3">
      <c r="A20" s="629"/>
      <c r="B20" s="630"/>
      <c r="C20" s="630"/>
      <c r="D20" s="630"/>
      <c r="E20" s="631"/>
      <c r="F20" s="631"/>
      <c r="G20" s="632" t="s">
        <v>286</v>
      </c>
      <c r="H20" s="633" t="s">
        <v>983</v>
      </c>
      <c r="I20" s="630"/>
      <c r="J20" s="634"/>
    </row>
    <row r="21" spans="1:17" ht="15" customHeight="1" x14ac:dyDescent="0.25">
      <c r="E21" s="602"/>
      <c r="F21" s="602"/>
      <c r="G21" s="635"/>
      <c r="H21" s="636"/>
    </row>
    <row r="22" spans="1:17" ht="111" customHeight="1" x14ac:dyDescent="0.25">
      <c r="A22" s="2192" t="s">
        <v>1763</v>
      </c>
      <c r="B22" s="2193"/>
      <c r="C22" s="2193"/>
      <c r="D22" s="2193"/>
      <c r="E22" s="2193"/>
      <c r="F22" s="2193"/>
      <c r="G22" s="2193"/>
      <c r="H22" s="2193"/>
      <c r="I22" s="2193"/>
      <c r="J22" s="2194"/>
    </row>
    <row r="23" spans="1:17" ht="15" customHeight="1" thickBot="1" x14ac:dyDescent="0.3">
      <c r="A23" s="2195"/>
      <c r="B23" s="2195"/>
      <c r="C23" s="2195"/>
      <c r="D23" s="2195"/>
      <c r="E23" s="2195"/>
      <c r="F23" s="2195"/>
      <c r="G23" s="2195"/>
      <c r="H23" s="2195"/>
    </row>
    <row r="24" spans="1:17" ht="15.75" thickBot="1" x14ac:dyDescent="0.3">
      <c r="E24" s="637" t="s">
        <v>178</v>
      </c>
      <c r="F24" s="638" t="s">
        <v>210</v>
      </c>
    </row>
    <row r="25" spans="1:17" ht="27.75" customHeight="1" x14ac:dyDescent="0.25">
      <c r="E25" s="626" t="s">
        <v>287</v>
      </c>
      <c r="F25" s="627" t="s">
        <v>982</v>
      </c>
    </row>
    <row r="26" spans="1:17" ht="16.5" thickBot="1" x14ac:dyDescent="0.3">
      <c r="E26" s="632" t="s">
        <v>286</v>
      </c>
      <c r="F26" s="633" t="s">
        <v>983</v>
      </c>
    </row>
    <row r="27" spans="1:17" s="639" customFormat="1" ht="15.75" x14ac:dyDescent="0.25">
      <c r="E27" s="640"/>
      <c r="F27" s="641"/>
      <c r="J27" s="328"/>
    </row>
    <row r="28" spans="1:17" ht="21" x14ac:dyDescent="0.25">
      <c r="A28" s="2196" t="s">
        <v>984</v>
      </c>
      <c r="B28" s="2197"/>
      <c r="C28" s="2197"/>
      <c r="D28" s="2197"/>
      <c r="E28" s="2197"/>
      <c r="F28" s="2197"/>
      <c r="G28" s="2197"/>
      <c r="H28" s="2197"/>
      <c r="I28" s="2197"/>
      <c r="J28" s="2197"/>
      <c r="K28" s="2197"/>
      <c r="L28" s="2197"/>
      <c r="M28" s="2198"/>
    </row>
    <row r="29" spans="1:17" ht="15.75" thickBot="1" x14ac:dyDescent="0.3">
      <c r="A29" s="642"/>
      <c r="B29" s="643"/>
      <c r="C29" s="643"/>
      <c r="D29" s="643"/>
      <c r="E29" s="643"/>
      <c r="F29" s="643"/>
      <c r="G29" s="643"/>
      <c r="H29" s="643"/>
      <c r="I29" s="643"/>
      <c r="J29" s="644"/>
      <c r="K29" s="643"/>
      <c r="L29" s="643"/>
      <c r="M29" s="602"/>
    </row>
    <row r="30" spans="1:17" ht="15.75" thickBot="1" x14ac:dyDescent="0.3">
      <c r="A30" s="2199" t="s">
        <v>967</v>
      </c>
      <c r="B30" s="2202" t="s">
        <v>985</v>
      </c>
      <c r="C30" s="2202"/>
      <c r="D30" s="2202"/>
      <c r="E30" s="2203"/>
      <c r="F30" s="2203"/>
      <c r="G30" s="2203"/>
      <c r="H30" s="2203"/>
      <c r="I30" s="2203"/>
      <c r="J30" s="2203"/>
      <c r="K30" s="2203"/>
      <c r="L30" s="2204"/>
      <c r="M30" s="2205" t="s">
        <v>177</v>
      </c>
    </row>
    <row r="31" spans="1:17" ht="38.25" customHeight="1" x14ac:dyDescent="0.25">
      <c r="A31" s="2200"/>
      <c r="B31" s="2208" t="s">
        <v>986</v>
      </c>
      <c r="C31" s="2208"/>
      <c r="D31" s="2208"/>
      <c r="E31" s="2209"/>
      <c r="F31" s="2209"/>
      <c r="G31" s="2209"/>
      <c r="H31" s="2209"/>
      <c r="I31" s="2209" t="s">
        <v>208</v>
      </c>
      <c r="J31" s="2209" t="s">
        <v>987</v>
      </c>
      <c r="K31" s="2209" t="s">
        <v>988</v>
      </c>
      <c r="L31" s="2211" t="s">
        <v>989</v>
      </c>
      <c r="M31" s="2206"/>
    </row>
    <row r="32" spans="1:17" ht="76.5" customHeight="1" thickBot="1" x14ac:dyDescent="0.3">
      <c r="A32" s="2201"/>
      <c r="B32" s="645" t="s">
        <v>464</v>
      </c>
      <c r="C32" s="645"/>
      <c r="D32" s="645"/>
      <c r="E32" s="646" t="s">
        <v>990</v>
      </c>
      <c r="F32" s="646" t="s">
        <v>991</v>
      </c>
      <c r="G32" s="646" t="s">
        <v>992</v>
      </c>
      <c r="H32" s="646" t="s">
        <v>993</v>
      </c>
      <c r="I32" s="2210"/>
      <c r="J32" s="2210"/>
      <c r="K32" s="2210"/>
      <c r="L32" s="2212"/>
      <c r="M32" s="2207"/>
    </row>
    <row r="33" spans="1:13" ht="36" customHeight="1" x14ac:dyDescent="0.25">
      <c r="A33" s="2154" t="s">
        <v>994</v>
      </c>
      <c r="B33" s="2157" t="s">
        <v>995</v>
      </c>
      <c r="C33" s="2158"/>
      <c r="D33" s="2158"/>
      <c r="E33" s="2158"/>
      <c r="F33" s="2158"/>
      <c r="G33" s="2158"/>
      <c r="H33" s="2158"/>
      <c r="I33" s="2158"/>
      <c r="J33" s="2158"/>
      <c r="K33" s="2158"/>
      <c r="L33" s="2158"/>
      <c r="M33" s="2159"/>
    </row>
    <row r="34" spans="1:13" ht="71.25" customHeight="1" x14ac:dyDescent="0.25">
      <c r="A34" s="2155"/>
      <c r="B34" s="647" t="s">
        <v>996</v>
      </c>
      <c r="C34" s="647"/>
      <c r="D34" s="647"/>
      <c r="E34" s="648" t="s">
        <v>997</v>
      </c>
      <c r="F34" s="1587">
        <f>23462378626/28180338979</f>
        <v>0.8325797160738263</v>
      </c>
      <c r="G34" s="649" t="s">
        <v>998</v>
      </c>
      <c r="H34" s="650" t="s">
        <v>999</v>
      </c>
      <c r="I34" s="651" t="s">
        <v>192</v>
      </c>
      <c r="J34" s="2160" t="s">
        <v>1000</v>
      </c>
      <c r="K34" s="652" t="s">
        <v>1001</v>
      </c>
      <c r="L34" s="2151" t="s">
        <v>1002</v>
      </c>
      <c r="M34" s="653">
        <v>0.85</v>
      </c>
    </row>
    <row r="35" spans="1:13" ht="63.75" customHeight="1" x14ac:dyDescent="0.25">
      <c r="A35" s="2155"/>
      <c r="B35" s="647" t="s">
        <v>1003</v>
      </c>
      <c r="C35" s="647"/>
      <c r="D35" s="647"/>
      <c r="E35" s="648" t="s">
        <v>1004</v>
      </c>
      <c r="F35" s="1589">
        <f>23462378626-28180338979</f>
        <v>-4717960353</v>
      </c>
      <c r="G35" s="649" t="s">
        <v>1005</v>
      </c>
      <c r="H35" s="650" t="s">
        <v>1006</v>
      </c>
      <c r="I35" s="2139" t="s">
        <v>192</v>
      </c>
      <c r="J35" s="2160"/>
      <c r="K35" s="2131" t="s">
        <v>1007</v>
      </c>
      <c r="L35" s="2161"/>
      <c r="M35" s="2138">
        <v>0.7</v>
      </c>
    </row>
    <row r="36" spans="1:13" ht="97.5" customHeight="1" x14ac:dyDescent="0.25">
      <c r="A36" s="2155"/>
      <c r="B36" s="654" t="s">
        <v>1008</v>
      </c>
      <c r="C36" s="654"/>
      <c r="D36" s="654"/>
      <c r="E36" s="652" t="s">
        <v>1009</v>
      </c>
      <c r="F36" s="1590"/>
      <c r="G36" s="649" t="s">
        <v>1010</v>
      </c>
      <c r="H36" s="650" t="s">
        <v>1011</v>
      </c>
      <c r="I36" s="2139"/>
      <c r="J36" s="2160"/>
      <c r="K36" s="2131"/>
      <c r="L36" s="2161"/>
      <c r="M36" s="2138"/>
    </row>
    <row r="37" spans="1:13" ht="86.25" customHeight="1" x14ac:dyDescent="0.25">
      <c r="A37" s="2155"/>
      <c r="B37" s="654" t="s">
        <v>1012</v>
      </c>
      <c r="C37" s="654"/>
      <c r="D37" s="654"/>
      <c r="E37" s="648" t="s">
        <v>1013</v>
      </c>
      <c r="F37" s="1587">
        <f>68837292084/298129722718</f>
        <v>0.23089711235908197</v>
      </c>
      <c r="G37" s="649" t="s">
        <v>998</v>
      </c>
      <c r="H37" s="650" t="s">
        <v>1014</v>
      </c>
      <c r="I37" s="651" t="s">
        <v>192</v>
      </c>
      <c r="J37" s="2128" t="s">
        <v>1015</v>
      </c>
      <c r="K37" s="648" t="s">
        <v>1016</v>
      </c>
      <c r="L37" s="2161"/>
      <c r="M37" s="653">
        <v>0.85</v>
      </c>
    </row>
    <row r="38" spans="1:13" ht="72" customHeight="1" x14ac:dyDescent="0.25">
      <c r="A38" s="2155"/>
      <c r="B38" s="654" t="s">
        <v>1017</v>
      </c>
      <c r="C38" s="654"/>
      <c r="D38" s="654"/>
      <c r="E38" s="648" t="s">
        <v>1018</v>
      </c>
      <c r="F38" s="1587">
        <f>28180338979/68837292084</f>
        <v>0.40937605367469149</v>
      </c>
      <c r="G38" s="649" t="s">
        <v>998</v>
      </c>
      <c r="H38" s="650" t="s">
        <v>1019</v>
      </c>
      <c r="I38" s="651" t="s">
        <v>192</v>
      </c>
      <c r="J38" s="2128"/>
      <c r="K38" s="648" t="s">
        <v>1020</v>
      </c>
      <c r="L38" s="2161"/>
      <c r="M38" s="653">
        <v>0.8</v>
      </c>
    </row>
    <row r="39" spans="1:13" s="604" customFormat="1" ht="93.75" customHeight="1" x14ac:dyDescent="0.25">
      <c r="A39" s="2155"/>
      <c r="B39" s="654" t="s">
        <v>1021</v>
      </c>
      <c r="C39" s="654"/>
      <c r="D39" s="654"/>
      <c r="E39" s="652" t="s">
        <v>1022</v>
      </c>
      <c r="F39" s="1588">
        <f>(68837292084/229292430634)</f>
        <v>0.30021615582190375</v>
      </c>
      <c r="G39" s="649" t="s">
        <v>998</v>
      </c>
      <c r="H39" s="650" t="s">
        <v>1023</v>
      </c>
      <c r="I39" s="655" t="s">
        <v>192</v>
      </c>
      <c r="J39" s="2128"/>
      <c r="K39" s="652" t="s">
        <v>1024</v>
      </c>
      <c r="L39" s="2161"/>
      <c r="M39" s="656">
        <v>0.8</v>
      </c>
    </row>
    <row r="40" spans="1:13" ht="51" customHeight="1" x14ac:dyDescent="0.25">
      <c r="A40" s="2155"/>
      <c r="B40" s="647" t="s">
        <v>1025</v>
      </c>
      <c r="C40" s="647"/>
      <c r="D40" s="647"/>
      <c r="E40" s="648" t="s">
        <v>1026</v>
      </c>
      <c r="F40" s="1591"/>
      <c r="G40" s="649" t="s">
        <v>998</v>
      </c>
      <c r="H40" s="650" t="s">
        <v>1027</v>
      </c>
      <c r="I40" s="2139" t="s">
        <v>192</v>
      </c>
      <c r="J40" s="2128"/>
      <c r="K40" s="2121" t="s">
        <v>1028</v>
      </c>
      <c r="L40" s="2161"/>
      <c r="M40" s="2138">
        <v>0.75</v>
      </c>
    </row>
    <row r="41" spans="1:13" s="604" customFormat="1" ht="60" customHeight="1" x14ac:dyDescent="0.25">
      <c r="A41" s="2155"/>
      <c r="B41" s="654" t="s">
        <v>1029</v>
      </c>
      <c r="C41" s="654"/>
      <c r="D41" s="654"/>
      <c r="E41" s="652" t="s">
        <v>1030</v>
      </c>
      <c r="F41" s="1588">
        <f>(2900812718/6883292084)</f>
        <v>0.42142810193146529</v>
      </c>
      <c r="G41" s="649" t="s">
        <v>998</v>
      </c>
      <c r="H41" s="650" t="s">
        <v>1031</v>
      </c>
      <c r="I41" s="2139"/>
      <c r="J41" s="2128"/>
      <c r="K41" s="2121"/>
      <c r="L41" s="2161"/>
      <c r="M41" s="2138"/>
    </row>
    <row r="42" spans="1:13" ht="72.75" customHeight="1" x14ac:dyDescent="0.25">
      <c r="A42" s="2155"/>
      <c r="B42" s="654" t="s">
        <v>1032</v>
      </c>
      <c r="C42" s="654"/>
      <c r="D42" s="654"/>
      <c r="E42" s="658" t="s">
        <v>1033</v>
      </c>
      <c r="F42" s="1592"/>
      <c r="G42" s="649" t="s">
        <v>1005</v>
      </c>
      <c r="H42" s="650" t="s">
        <v>1034</v>
      </c>
      <c r="I42" s="2118" t="s">
        <v>194</v>
      </c>
      <c r="J42" s="2163" t="s">
        <v>1035</v>
      </c>
      <c r="K42" s="2151" t="s">
        <v>1036</v>
      </c>
      <c r="L42" s="2161"/>
      <c r="M42" s="2167">
        <v>0.75</v>
      </c>
    </row>
    <row r="43" spans="1:13" ht="88.5" customHeight="1" x14ac:dyDescent="0.25">
      <c r="A43" s="2155"/>
      <c r="B43" s="654" t="s">
        <v>1037</v>
      </c>
      <c r="C43" s="654"/>
      <c r="D43" s="654"/>
      <c r="E43" s="652" t="s">
        <v>1038</v>
      </c>
      <c r="F43" s="1593"/>
      <c r="G43" s="658" t="s">
        <v>998</v>
      </c>
      <c r="H43" s="650" t="s">
        <v>1039</v>
      </c>
      <c r="I43" s="2119"/>
      <c r="J43" s="2164"/>
      <c r="K43" s="2161"/>
      <c r="L43" s="2161"/>
      <c r="M43" s="2168"/>
    </row>
    <row r="44" spans="1:13" s="604" customFormat="1" ht="88.5" customHeight="1" x14ac:dyDescent="0.25">
      <c r="A44" s="2155"/>
      <c r="B44" s="654" t="s">
        <v>1040</v>
      </c>
      <c r="C44" s="654"/>
      <c r="D44" s="654"/>
      <c r="E44" s="652" t="s">
        <v>1041</v>
      </c>
      <c r="F44" s="1594"/>
      <c r="G44" s="649" t="s">
        <v>998</v>
      </c>
      <c r="H44" s="650" t="s">
        <v>1042</v>
      </c>
      <c r="I44" s="2120"/>
      <c r="J44" s="2164"/>
      <c r="K44" s="2166"/>
      <c r="L44" s="2161"/>
      <c r="M44" s="2169"/>
    </row>
    <row r="45" spans="1:13" ht="63" customHeight="1" x14ac:dyDescent="0.25">
      <c r="A45" s="2155"/>
      <c r="B45" s="654" t="s">
        <v>1043</v>
      </c>
      <c r="C45" s="654"/>
      <c r="D45" s="654"/>
      <c r="E45" s="658" t="s">
        <v>1044</v>
      </c>
      <c r="F45" s="1595"/>
      <c r="G45" s="658" t="s">
        <v>998</v>
      </c>
      <c r="H45" s="650" t="s">
        <v>1045</v>
      </c>
      <c r="I45" s="2139" t="s">
        <v>194</v>
      </c>
      <c r="J45" s="2164"/>
      <c r="K45" s="2121" t="s">
        <v>1046</v>
      </c>
      <c r="L45" s="2161"/>
      <c r="M45" s="2138">
        <v>0.8</v>
      </c>
    </row>
    <row r="46" spans="1:13" ht="63" customHeight="1" x14ac:dyDescent="0.25">
      <c r="A46" s="2155"/>
      <c r="B46" s="654" t="s">
        <v>1047</v>
      </c>
      <c r="C46" s="654"/>
      <c r="D46" s="654"/>
      <c r="E46" s="652" t="s">
        <v>1048</v>
      </c>
      <c r="F46" s="1593"/>
      <c r="G46" s="658" t="s">
        <v>1005</v>
      </c>
      <c r="H46" s="650" t="s">
        <v>1049</v>
      </c>
      <c r="I46" s="2139"/>
      <c r="J46" s="2164"/>
      <c r="K46" s="2121"/>
      <c r="L46" s="2161"/>
      <c r="M46" s="2138"/>
    </row>
    <row r="47" spans="1:13" ht="69.75" customHeight="1" x14ac:dyDescent="0.25">
      <c r="A47" s="2155"/>
      <c r="B47" s="654" t="s">
        <v>1050</v>
      </c>
      <c r="C47" s="654"/>
      <c r="D47" s="654"/>
      <c r="E47" s="652" t="s">
        <v>1051</v>
      </c>
      <c r="F47" s="1593"/>
      <c r="G47" s="658" t="s">
        <v>998</v>
      </c>
      <c r="H47" s="650" t="s">
        <v>1052</v>
      </c>
      <c r="I47" s="2139"/>
      <c r="J47" s="2164"/>
      <c r="K47" s="2121"/>
      <c r="L47" s="2161"/>
      <c r="M47" s="2138"/>
    </row>
    <row r="48" spans="1:13" ht="83.25" customHeight="1" x14ac:dyDescent="0.25">
      <c r="A48" s="2155"/>
      <c r="B48" s="655" t="s">
        <v>1053</v>
      </c>
      <c r="C48" s="655"/>
      <c r="D48" s="655"/>
      <c r="E48" s="658" t="s">
        <v>1054</v>
      </c>
      <c r="F48" s="1596"/>
      <c r="G48" s="651" t="s">
        <v>998</v>
      </c>
      <c r="H48" s="650" t="s">
        <v>1055</v>
      </c>
      <c r="I48" s="651" t="s">
        <v>194</v>
      </c>
      <c r="J48" s="2165"/>
      <c r="K48" s="658" t="s">
        <v>1056</v>
      </c>
      <c r="L48" s="2161"/>
      <c r="M48" s="653">
        <v>0.85</v>
      </c>
    </row>
    <row r="49" spans="1:13" ht="83.25" customHeight="1" x14ac:dyDescent="0.25">
      <c r="A49" s="2155"/>
      <c r="B49" s="654" t="s">
        <v>1057</v>
      </c>
      <c r="C49" s="654"/>
      <c r="D49" s="654"/>
      <c r="E49" s="652" t="s">
        <v>1058</v>
      </c>
      <c r="F49" s="1591"/>
      <c r="G49" s="649" t="s">
        <v>998</v>
      </c>
      <c r="H49" s="650" t="s">
        <v>1059</v>
      </c>
      <c r="I49" s="2139" t="s">
        <v>194</v>
      </c>
      <c r="J49" s="2128" t="s">
        <v>1060</v>
      </c>
      <c r="K49" s="2121" t="s">
        <v>1061</v>
      </c>
      <c r="L49" s="2161"/>
      <c r="M49" s="2138">
        <v>0.7</v>
      </c>
    </row>
    <row r="50" spans="1:13" ht="67.5" customHeight="1" x14ac:dyDescent="0.25">
      <c r="A50" s="2155"/>
      <c r="B50" s="654" t="s">
        <v>1062</v>
      </c>
      <c r="C50" s="654"/>
      <c r="D50" s="654"/>
      <c r="E50" s="652" t="s">
        <v>1063</v>
      </c>
      <c r="F50" s="1591"/>
      <c r="G50" s="649" t="s">
        <v>998</v>
      </c>
      <c r="H50" s="650" t="s">
        <v>1064</v>
      </c>
      <c r="I50" s="2139"/>
      <c r="J50" s="2128"/>
      <c r="K50" s="2121"/>
      <c r="L50" s="2161"/>
      <c r="M50" s="2138"/>
    </row>
    <row r="51" spans="1:13" ht="87.75" customHeight="1" x14ac:dyDescent="0.25">
      <c r="A51" s="2155"/>
      <c r="B51" s="654" t="s">
        <v>1065</v>
      </c>
      <c r="C51" s="654"/>
      <c r="D51" s="654"/>
      <c r="E51" s="652" t="s">
        <v>1066</v>
      </c>
      <c r="F51" s="1591"/>
      <c r="G51" s="649" t="s">
        <v>998</v>
      </c>
      <c r="H51" s="650" t="s">
        <v>1067</v>
      </c>
      <c r="I51" s="651" t="s">
        <v>194</v>
      </c>
      <c r="J51" s="2128"/>
      <c r="K51" s="648" t="s">
        <v>1068</v>
      </c>
      <c r="L51" s="2161"/>
      <c r="M51" s="653">
        <v>0.75</v>
      </c>
    </row>
    <row r="52" spans="1:13" ht="87.75" customHeight="1" x14ac:dyDescent="0.25">
      <c r="A52" s="2155"/>
      <c r="B52" s="659"/>
      <c r="C52" s="659"/>
      <c r="D52" s="659"/>
      <c r="E52" s="660"/>
      <c r="F52" s="661"/>
      <c r="G52" s="662"/>
      <c r="H52" s="663"/>
      <c r="I52" s="664" t="s">
        <v>192</v>
      </c>
      <c r="J52" s="2128" t="s">
        <v>1069</v>
      </c>
      <c r="K52" s="665"/>
      <c r="L52" s="2161"/>
      <c r="M52" s="653">
        <v>0.8</v>
      </c>
    </row>
    <row r="53" spans="1:13" ht="87.75" customHeight="1" x14ac:dyDescent="0.25">
      <c r="A53" s="2155"/>
      <c r="B53" s="659"/>
      <c r="C53" s="659"/>
      <c r="D53" s="659"/>
      <c r="E53" s="660"/>
      <c r="F53" s="661"/>
      <c r="G53" s="662"/>
      <c r="H53" s="663"/>
      <c r="I53" s="664" t="s">
        <v>194</v>
      </c>
      <c r="J53" s="2128"/>
      <c r="K53" s="665"/>
      <c r="L53" s="2161"/>
      <c r="M53" s="653">
        <v>0.85</v>
      </c>
    </row>
    <row r="54" spans="1:13" ht="87.75" customHeight="1" x14ac:dyDescent="0.25">
      <c r="A54" s="2155"/>
      <c r="B54" s="659"/>
      <c r="C54" s="659"/>
      <c r="D54" s="659"/>
      <c r="E54" s="660"/>
      <c r="F54" s="661"/>
      <c r="G54" s="662"/>
      <c r="H54" s="663"/>
      <c r="I54" s="664" t="s">
        <v>192</v>
      </c>
      <c r="J54" s="2128"/>
      <c r="K54" s="665"/>
      <c r="L54" s="2161"/>
      <c r="M54" s="653"/>
    </row>
    <row r="55" spans="1:13" ht="36" customHeight="1" x14ac:dyDescent="0.25">
      <c r="A55" s="2155"/>
      <c r="B55" s="2170" t="s">
        <v>1070</v>
      </c>
      <c r="C55" s="2171"/>
      <c r="D55" s="2171"/>
      <c r="E55" s="2171"/>
      <c r="F55" s="2171"/>
      <c r="G55" s="2171"/>
      <c r="H55" s="2171"/>
      <c r="I55" s="2171"/>
      <c r="J55" s="2171"/>
      <c r="K55" s="2172"/>
      <c r="L55" s="2161"/>
      <c r="M55" s="653"/>
    </row>
    <row r="56" spans="1:13" ht="172.5" customHeight="1" x14ac:dyDescent="0.25">
      <c r="A56" s="2155"/>
      <c r="B56" s="654" t="s">
        <v>1071</v>
      </c>
      <c r="C56" s="654"/>
      <c r="D56" s="654"/>
      <c r="E56" s="658" t="s">
        <v>1072</v>
      </c>
      <c r="F56" s="657"/>
      <c r="G56" s="649" t="s">
        <v>998</v>
      </c>
      <c r="H56" s="666" t="s">
        <v>1073</v>
      </c>
      <c r="I56" s="667" t="s">
        <v>194</v>
      </c>
      <c r="J56" s="2173" t="s">
        <v>1070</v>
      </c>
      <c r="K56" s="668" t="s">
        <v>1074</v>
      </c>
      <c r="L56" s="2161"/>
      <c r="M56" s="653"/>
    </row>
    <row r="57" spans="1:13" ht="102" customHeight="1" x14ac:dyDescent="0.25">
      <c r="A57" s="2155"/>
      <c r="B57" s="654" t="s">
        <v>1075</v>
      </c>
      <c r="C57" s="654"/>
      <c r="D57" s="654"/>
      <c r="E57" s="658" t="s">
        <v>1076</v>
      </c>
      <c r="F57" s="657"/>
      <c r="G57" s="649" t="s">
        <v>1005</v>
      </c>
      <c r="H57" s="666" t="s">
        <v>1077</v>
      </c>
      <c r="I57" s="2118" t="s">
        <v>194</v>
      </c>
      <c r="J57" s="2174"/>
      <c r="K57" s="2121" t="s">
        <v>1078</v>
      </c>
      <c r="L57" s="2161"/>
      <c r="M57" s="2138"/>
    </row>
    <row r="58" spans="1:13" ht="63.75" customHeight="1" x14ac:dyDescent="0.25">
      <c r="A58" s="2155"/>
      <c r="B58" s="654" t="s">
        <v>1079</v>
      </c>
      <c r="C58" s="654"/>
      <c r="D58" s="654"/>
      <c r="E58" s="658" t="s">
        <v>1080</v>
      </c>
      <c r="F58" s="657"/>
      <c r="G58" s="649" t="s">
        <v>1005</v>
      </c>
      <c r="H58" s="666" t="s">
        <v>1081</v>
      </c>
      <c r="I58" s="2119"/>
      <c r="J58" s="2174"/>
      <c r="K58" s="2121"/>
      <c r="L58" s="2161"/>
      <c r="M58" s="2138"/>
    </row>
    <row r="59" spans="1:13" ht="79.5" customHeight="1" x14ac:dyDescent="0.25">
      <c r="A59" s="2155"/>
      <c r="B59" s="654" t="s">
        <v>1082</v>
      </c>
      <c r="C59" s="654"/>
      <c r="D59" s="654"/>
      <c r="E59" s="658" t="s">
        <v>1083</v>
      </c>
      <c r="F59" s="657"/>
      <c r="G59" s="649" t="s">
        <v>1005</v>
      </c>
      <c r="H59" s="666" t="s">
        <v>1084</v>
      </c>
      <c r="I59" s="2119"/>
      <c r="J59" s="2174"/>
      <c r="K59" s="2121"/>
      <c r="L59" s="2161"/>
      <c r="M59" s="2138"/>
    </row>
    <row r="60" spans="1:13" ht="93.75" customHeight="1" x14ac:dyDescent="0.25">
      <c r="A60" s="2155"/>
      <c r="B60" s="654" t="s">
        <v>1085</v>
      </c>
      <c r="C60" s="654"/>
      <c r="D60" s="654"/>
      <c r="E60" s="658" t="s">
        <v>1086</v>
      </c>
      <c r="F60" s="657"/>
      <c r="G60" s="649" t="s">
        <v>1005</v>
      </c>
      <c r="H60" s="666" t="s">
        <v>1087</v>
      </c>
      <c r="I60" s="2120"/>
      <c r="J60" s="2174"/>
      <c r="K60" s="2121"/>
      <c r="L60" s="2161"/>
      <c r="M60" s="2138"/>
    </row>
    <row r="61" spans="1:13" ht="90.75" customHeight="1" x14ac:dyDescent="0.25">
      <c r="A61" s="2155"/>
      <c r="B61" s="654" t="s">
        <v>1088</v>
      </c>
      <c r="C61" s="654"/>
      <c r="D61" s="654"/>
      <c r="E61" s="658" t="s">
        <v>1089</v>
      </c>
      <c r="F61" s="657"/>
      <c r="G61" s="658" t="s">
        <v>1005</v>
      </c>
      <c r="H61" s="666" t="s">
        <v>1090</v>
      </c>
      <c r="I61" s="2118" t="s">
        <v>194</v>
      </c>
      <c r="J61" s="2174"/>
      <c r="K61" s="2121" t="s">
        <v>1091</v>
      </c>
      <c r="L61" s="2161"/>
      <c r="M61" s="2138"/>
    </row>
    <row r="62" spans="1:13" ht="65.25" customHeight="1" x14ac:dyDescent="0.25">
      <c r="A62" s="2155"/>
      <c r="B62" s="654" t="s">
        <v>1092</v>
      </c>
      <c r="C62" s="654"/>
      <c r="D62" s="654"/>
      <c r="E62" s="658" t="s">
        <v>1093</v>
      </c>
      <c r="F62" s="657"/>
      <c r="G62" s="658" t="s">
        <v>998</v>
      </c>
      <c r="H62" s="666" t="s">
        <v>1094</v>
      </c>
      <c r="I62" s="2120"/>
      <c r="J62" s="2174"/>
      <c r="K62" s="2121"/>
      <c r="L62" s="2161"/>
      <c r="M62" s="2138"/>
    </row>
    <row r="63" spans="1:13" s="604" customFormat="1" ht="119.25" customHeight="1" thickBot="1" x14ac:dyDescent="0.3">
      <c r="A63" s="2156"/>
      <c r="B63" s="669" t="s">
        <v>1095</v>
      </c>
      <c r="C63" s="669"/>
      <c r="D63" s="669"/>
      <c r="E63" s="670" t="s">
        <v>1096</v>
      </c>
      <c r="F63" s="671"/>
      <c r="G63" s="672" t="s">
        <v>998</v>
      </c>
      <c r="H63" s="673" t="s">
        <v>1097</v>
      </c>
      <c r="I63" s="674" t="s">
        <v>194</v>
      </c>
      <c r="J63" s="2175"/>
      <c r="K63" s="675" t="s">
        <v>1098</v>
      </c>
      <c r="L63" s="2162"/>
      <c r="M63" s="676"/>
    </row>
    <row r="64" spans="1:13" ht="42.75" customHeight="1" thickBot="1" x14ac:dyDescent="0.3">
      <c r="A64" s="2140" t="s">
        <v>1099</v>
      </c>
      <c r="B64" s="2141"/>
      <c r="C64" s="2141"/>
      <c r="D64" s="2141"/>
      <c r="E64" s="2141"/>
      <c r="F64" s="2141"/>
      <c r="G64" s="2141"/>
      <c r="H64" s="2141"/>
      <c r="I64" s="2141"/>
      <c r="J64" s="2141"/>
      <c r="K64" s="2141"/>
      <c r="L64" s="2141"/>
      <c r="M64" s="2142"/>
    </row>
    <row r="65" spans="1:13" ht="33.75" customHeight="1" x14ac:dyDescent="0.25">
      <c r="A65" s="2134" t="s">
        <v>1100</v>
      </c>
      <c r="B65" s="2135" t="s">
        <v>1101</v>
      </c>
      <c r="C65" s="2135"/>
      <c r="D65" s="2135"/>
      <c r="E65" s="2135"/>
      <c r="F65" s="2135"/>
      <c r="G65" s="2135"/>
      <c r="H65" s="2135"/>
      <c r="I65" s="2143" t="s">
        <v>192</v>
      </c>
      <c r="J65" s="2136" t="s">
        <v>1102</v>
      </c>
      <c r="K65" s="2145"/>
      <c r="L65" s="2137" t="s">
        <v>1103</v>
      </c>
      <c r="M65" s="2148"/>
    </row>
    <row r="66" spans="1:13" ht="43.5" customHeight="1" x14ac:dyDescent="0.25">
      <c r="A66" s="2125"/>
      <c r="B66" s="2099" t="s">
        <v>1104</v>
      </c>
      <c r="C66" s="2099"/>
      <c r="D66" s="2099"/>
      <c r="E66" s="2099"/>
      <c r="F66" s="2099"/>
      <c r="G66" s="2099"/>
      <c r="H66" s="2099"/>
      <c r="I66" s="2119"/>
      <c r="J66" s="2129"/>
      <c r="K66" s="2146"/>
      <c r="L66" s="2121"/>
      <c r="M66" s="2123"/>
    </row>
    <row r="67" spans="1:13" ht="30.75" customHeight="1" x14ac:dyDescent="0.25">
      <c r="A67" s="2125"/>
      <c r="B67" s="2099" t="s">
        <v>1105</v>
      </c>
      <c r="C67" s="2099"/>
      <c r="D67" s="2099"/>
      <c r="E67" s="2099"/>
      <c r="F67" s="2099"/>
      <c r="G67" s="2099"/>
      <c r="H67" s="2099"/>
      <c r="I67" s="2120"/>
      <c r="J67" s="2129"/>
      <c r="K67" s="2146"/>
      <c r="L67" s="2121"/>
      <c r="M67" s="2124"/>
    </row>
    <row r="68" spans="1:13" ht="39" customHeight="1" x14ac:dyDescent="0.25">
      <c r="A68" s="2125"/>
      <c r="B68" s="2099" t="s">
        <v>1106</v>
      </c>
      <c r="C68" s="2099"/>
      <c r="D68" s="2099"/>
      <c r="E68" s="2099"/>
      <c r="F68" s="2099"/>
      <c r="G68" s="2099"/>
      <c r="H68" s="2099"/>
      <c r="I68" s="2118" t="s">
        <v>192</v>
      </c>
      <c r="J68" s="2129"/>
      <c r="K68" s="2146"/>
      <c r="L68" s="2121" t="s">
        <v>1107</v>
      </c>
      <c r="M68" s="2122"/>
    </row>
    <row r="69" spans="1:13" ht="27.75" customHeight="1" x14ac:dyDescent="0.25">
      <c r="A69" s="2125"/>
      <c r="B69" s="2099" t="s">
        <v>1108</v>
      </c>
      <c r="C69" s="2099"/>
      <c r="D69" s="2099"/>
      <c r="E69" s="2099"/>
      <c r="F69" s="2099"/>
      <c r="G69" s="2099"/>
      <c r="H69" s="2099"/>
      <c r="I69" s="2119"/>
      <c r="J69" s="2129"/>
      <c r="K69" s="2146"/>
      <c r="L69" s="2121"/>
      <c r="M69" s="2123"/>
    </row>
    <row r="70" spans="1:13" ht="34.5" customHeight="1" x14ac:dyDescent="0.25">
      <c r="A70" s="2125"/>
      <c r="B70" s="2099" t="s">
        <v>1109</v>
      </c>
      <c r="C70" s="2099"/>
      <c r="D70" s="2099"/>
      <c r="E70" s="2099"/>
      <c r="F70" s="2099"/>
      <c r="G70" s="2099"/>
      <c r="H70" s="2099"/>
      <c r="I70" s="2119"/>
      <c r="J70" s="2129"/>
      <c r="K70" s="2146"/>
      <c r="L70" s="2121"/>
      <c r="M70" s="2123"/>
    </row>
    <row r="71" spans="1:13" ht="41.25" customHeight="1" x14ac:dyDescent="0.25">
      <c r="A71" s="2125"/>
      <c r="B71" s="2099" t="s">
        <v>1110</v>
      </c>
      <c r="C71" s="2099"/>
      <c r="D71" s="2099"/>
      <c r="E71" s="2099"/>
      <c r="F71" s="2099"/>
      <c r="G71" s="2099"/>
      <c r="H71" s="2099"/>
      <c r="I71" s="2120"/>
      <c r="J71" s="2129"/>
      <c r="K71" s="2146"/>
      <c r="L71" s="2121"/>
      <c r="M71" s="2124"/>
    </row>
    <row r="72" spans="1:13" ht="34.5" customHeight="1" x14ac:dyDescent="0.25">
      <c r="A72" s="2125" t="s">
        <v>1111</v>
      </c>
      <c r="B72" s="2099" t="s">
        <v>1112</v>
      </c>
      <c r="C72" s="2099"/>
      <c r="D72" s="2099"/>
      <c r="E72" s="2099"/>
      <c r="F72" s="2099"/>
      <c r="G72" s="2099"/>
      <c r="H72" s="2099"/>
      <c r="I72" s="2118" t="s">
        <v>192</v>
      </c>
      <c r="J72" s="2129"/>
      <c r="K72" s="2146"/>
      <c r="L72" s="2121" t="s">
        <v>1113</v>
      </c>
      <c r="M72" s="2122"/>
    </row>
    <row r="73" spans="1:13" ht="32.25" customHeight="1" x14ac:dyDescent="0.25">
      <c r="A73" s="2125"/>
      <c r="B73" s="2099" t="s">
        <v>1114</v>
      </c>
      <c r="C73" s="2099"/>
      <c r="D73" s="2099"/>
      <c r="E73" s="2099"/>
      <c r="F73" s="2099"/>
      <c r="G73" s="2099"/>
      <c r="H73" s="2099"/>
      <c r="I73" s="2119"/>
      <c r="J73" s="2129"/>
      <c r="K73" s="2146"/>
      <c r="L73" s="2121"/>
      <c r="M73" s="2123"/>
    </row>
    <row r="74" spans="1:13" ht="34.5" customHeight="1" thickBot="1" x14ac:dyDescent="0.3">
      <c r="A74" s="2149"/>
      <c r="B74" s="2153" t="s">
        <v>1115</v>
      </c>
      <c r="C74" s="2153"/>
      <c r="D74" s="2153"/>
      <c r="E74" s="2153"/>
      <c r="F74" s="2153"/>
      <c r="G74" s="2153"/>
      <c r="H74" s="2153"/>
      <c r="I74" s="2150"/>
      <c r="J74" s="2144"/>
      <c r="K74" s="2147"/>
      <c r="L74" s="2151"/>
      <c r="M74" s="2152"/>
    </row>
    <row r="75" spans="1:13" ht="48.75" customHeight="1" x14ac:dyDescent="0.25">
      <c r="A75" s="2134" t="s">
        <v>979</v>
      </c>
      <c r="B75" s="2135" t="s">
        <v>1116</v>
      </c>
      <c r="C75" s="2135"/>
      <c r="D75" s="2135"/>
      <c r="E75" s="2135"/>
      <c r="F75" s="2135"/>
      <c r="G75" s="2135"/>
      <c r="H75" s="2135"/>
      <c r="I75" s="677" t="s">
        <v>192</v>
      </c>
      <c r="J75" s="2136" t="s">
        <v>1117</v>
      </c>
      <c r="K75" s="2137"/>
      <c r="L75" s="2137" t="s">
        <v>1118</v>
      </c>
      <c r="M75" s="678"/>
    </row>
    <row r="76" spans="1:13" ht="41.25" customHeight="1" x14ac:dyDescent="0.25">
      <c r="A76" s="2125"/>
      <c r="B76" s="2099" t="s">
        <v>1119</v>
      </c>
      <c r="C76" s="2099"/>
      <c r="D76" s="2099"/>
      <c r="E76" s="2099"/>
      <c r="F76" s="2099"/>
      <c r="G76" s="2099"/>
      <c r="H76" s="2099"/>
      <c r="I76" s="651" t="s">
        <v>192</v>
      </c>
      <c r="J76" s="2129"/>
      <c r="K76" s="2121"/>
      <c r="L76" s="2121"/>
      <c r="M76" s="679"/>
    </row>
    <row r="77" spans="1:13" ht="23.25" customHeight="1" x14ac:dyDescent="0.25">
      <c r="A77" s="2125"/>
      <c r="B77" s="2099" t="s">
        <v>1120</v>
      </c>
      <c r="C77" s="2099"/>
      <c r="D77" s="2099"/>
      <c r="E77" s="2099"/>
      <c r="F77" s="2099"/>
      <c r="G77" s="2099"/>
      <c r="H77" s="2099"/>
      <c r="I77" s="651" t="s">
        <v>192</v>
      </c>
      <c r="J77" s="2129"/>
      <c r="K77" s="2121"/>
      <c r="L77" s="2121"/>
      <c r="M77" s="679"/>
    </row>
    <row r="78" spans="1:13" ht="27.75" customHeight="1" x14ac:dyDescent="0.25">
      <c r="A78" s="2125"/>
      <c r="B78" s="2099" t="s">
        <v>1121</v>
      </c>
      <c r="C78" s="2099"/>
      <c r="D78" s="2099"/>
      <c r="E78" s="2099"/>
      <c r="F78" s="2099"/>
      <c r="G78" s="2099"/>
      <c r="H78" s="2099"/>
      <c r="I78" s="651" t="s">
        <v>192</v>
      </c>
      <c r="J78" s="2129"/>
      <c r="K78" s="2121"/>
      <c r="L78" s="2121"/>
      <c r="M78" s="679"/>
    </row>
    <row r="79" spans="1:13" ht="27" customHeight="1" x14ac:dyDescent="0.25">
      <c r="A79" s="2125"/>
      <c r="B79" s="2099" t="s">
        <v>1122</v>
      </c>
      <c r="C79" s="2099"/>
      <c r="D79" s="2099"/>
      <c r="E79" s="2099"/>
      <c r="F79" s="2099"/>
      <c r="G79" s="2099"/>
      <c r="H79" s="2099"/>
      <c r="I79" s="651" t="s">
        <v>192</v>
      </c>
      <c r="J79" s="2129"/>
      <c r="K79" s="2121"/>
      <c r="L79" s="2121"/>
      <c r="M79" s="679"/>
    </row>
    <row r="80" spans="1:13" ht="41.25" customHeight="1" x14ac:dyDescent="0.25">
      <c r="A80" s="2125"/>
      <c r="B80" s="2099" t="s">
        <v>1123</v>
      </c>
      <c r="C80" s="2099"/>
      <c r="D80" s="2099"/>
      <c r="E80" s="2099"/>
      <c r="F80" s="2099"/>
      <c r="G80" s="2099"/>
      <c r="H80" s="2099"/>
      <c r="I80" s="651" t="s">
        <v>192</v>
      </c>
      <c r="J80" s="2129"/>
      <c r="K80" s="2121"/>
      <c r="L80" s="2121"/>
      <c r="M80" s="679"/>
    </row>
    <row r="81" spans="1:13" ht="57" customHeight="1" x14ac:dyDescent="0.25">
      <c r="A81" s="2125"/>
      <c r="B81" s="2099" t="s">
        <v>1124</v>
      </c>
      <c r="C81" s="2099"/>
      <c r="D81" s="2099"/>
      <c r="E81" s="2099"/>
      <c r="F81" s="2099"/>
      <c r="G81" s="2099"/>
      <c r="H81" s="2099"/>
      <c r="I81" s="651" t="s">
        <v>194</v>
      </c>
      <c r="J81" s="2129"/>
      <c r="K81" s="2121"/>
      <c r="L81" s="2121"/>
      <c r="M81" s="679"/>
    </row>
    <row r="82" spans="1:13" ht="29.25" customHeight="1" x14ac:dyDescent="0.25">
      <c r="A82" s="2125" t="s">
        <v>980</v>
      </c>
      <c r="B82" s="2127" t="s">
        <v>1125</v>
      </c>
      <c r="C82" s="2127"/>
      <c r="D82" s="2127"/>
      <c r="E82" s="2127"/>
      <c r="F82" s="2127"/>
      <c r="G82" s="2127"/>
      <c r="H82" s="2127"/>
      <c r="I82" s="651" t="s">
        <v>194</v>
      </c>
      <c r="J82" s="2128" t="s">
        <v>1126</v>
      </c>
      <c r="K82" s="2131"/>
      <c r="L82" s="2121" t="s">
        <v>1127</v>
      </c>
      <c r="M82" s="679"/>
    </row>
    <row r="83" spans="1:13" ht="29.25" customHeight="1" x14ac:dyDescent="0.25">
      <c r="A83" s="2125"/>
      <c r="B83" s="2127" t="s">
        <v>1128</v>
      </c>
      <c r="C83" s="2127"/>
      <c r="D83" s="2127"/>
      <c r="E83" s="2127"/>
      <c r="F83" s="2127"/>
      <c r="G83" s="2127"/>
      <c r="H83" s="2127"/>
      <c r="I83" s="651" t="s">
        <v>194</v>
      </c>
      <c r="J83" s="2128"/>
      <c r="K83" s="2131"/>
      <c r="L83" s="2121"/>
      <c r="M83" s="679"/>
    </row>
    <row r="84" spans="1:13" ht="36.75" customHeight="1" x14ac:dyDescent="0.25">
      <c r="A84" s="2125"/>
      <c r="B84" s="2099" t="s">
        <v>1129</v>
      </c>
      <c r="C84" s="2099"/>
      <c r="D84" s="2099"/>
      <c r="E84" s="2099"/>
      <c r="F84" s="2099"/>
      <c r="G84" s="2099"/>
      <c r="H84" s="2099"/>
      <c r="I84" s="651" t="s">
        <v>194</v>
      </c>
      <c r="J84" s="2129"/>
      <c r="K84" s="2131"/>
      <c r="L84" s="2121"/>
      <c r="M84" s="679"/>
    </row>
    <row r="85" spans="1:13" ht="21" customHeight="1" x14ac:dyDescent="0.25">
      <c r="A85" s="2125"/>
      <c r="B85" s="2127" t="s">
        <v>1130</v>
      </c>
      <c r="C85" s="2127"/>
      <c r="D85" s="2127"/>
      <c r="E85" s="2127"/>
      <c r="F85" s="2127"/>
      <c r="G85" s="2127"/>
      <c r="H85" s="2127"/>
      <c r="I85" s="651" t="s">
        <v>192</v>
      </c>
      <c r="J85" s="2129"/>
      <c r="K85" s="2131"/>
      <c r="L85" s="2121"/>
      <c r="M85" s="679"/>
    </row>
    <row r="86" spans="1:13" ht="45.75" customHeight="1" x14ac:dyDescent="0.25">
      <c r="A86" s="2125"/>
      <c r="B86" s="2099" t="s">
        <v>1131</v>
      </c>
      <c r="C86" s="2099"/>
      <c r="D86" s="2099"/>
      <c r="E86" s="2099"/>
      <c r="F86" s="2099"/>
      <c r="G86" s="2099"/>
      <c r="H86" s="2099"/>
      <c r="I86" s="651" t="s">
        <v>194</v>
      </c>
      <c r="J86" s="2129"/>
      <c r="K86" s="2131"/>
      <c r="L86" s="2121"/>
      <c r="M86" s="679"/>
    </row>
    <row r="87" spans="1:13" ht="36.75" customHeight="1" thickBot="1" x14ac:dyDescent="0.3">
      <c r="A87" s="2126"/>
      <c r="B87" s="2109" t="s">
        <v>1132</v>
      </c>
      <c r="C87" s="2109"/>
      <c r="D87" s="2109"/>
      <c r="E87" s="2109"/>
      <c r="F87" s="2109"/>
      <c r="G87" s="2109"/>
      <c r="H87" s="2109"/>
      <c r="I87" s="680" t="s">
        <v>194</v>
      </c>
      <c r="J87" s="2130"/>
      <c r="K87" s="2132"/>
      <c r="L87" s="2133"/>
      <c r="M87" s="681"/>
    </row>
    <row r="88" spans="1:13" x14ac:dyDescent="0.25">
      <c r="A88" s="682" t="s">
        <v>1133</v>
      </c>
    </row>
    <row r="89" spans="1:13" ht="15.75" thickBot="1" x14ac:dyDescent="0.3">
      <c r="B89" s="683"/>
      <c r="C89" s="683"/>
      <c r="D89" s="683"/>
    </row>
    <row r="90" spans="1:13" ht="42.75" customHeight="1" x14ac:dyDescent="0.25">
      <c r="A90" s="2110" t="s">
        <v>1134</v>
      </c>
      <c r="B90" s="2111"/>
      <c r="C90" s="2111"/>
      <c r="D90" s="2111"/>
      <c r="E90" s="2111"/>
      <c r="F90" s="2111"/>
      <c r="G90" s="2111"/>
      <c r="H90" s="2111"/>
      <c r="I90" s="2111"/>
      <c r="J90" s="2111"/>
      <c r="K90" s="2111"/>
      <c r="L90" s="2112"/>
    </row>
    <row r="91" spans="1:13" x14ac:dyDescent="0.25">
      <c r="A91" s="684"/>
      <c r="B91" s="369"/>
      <c r="C91" s="369"/>
      <c r="D91" s="369"/>
      <c r="E91" s="369"/>
      <c r="F91" s="369"/>
      <c r="G91" s="369"/>
      <c r="H91" s="369"/>
      <c r="I91" s="369"/>
      <c r="J91" s="268"/>
      <c r="K91" s="369"/>
      <c r="L91" s="685"/>
    </row>
    <row r="92" spans="1:13" ht="74.25" customHeight="1" x14ac:dyDescent="0.25">
      <c r="A92" s="2113" t="s">
        <v>1135</v>
      </c>
      <c r="B92" s="2114"/>
      <c r="C92" s="2114"/>
      <c r="D92" s="2114"/>
      <c r="E92" s="2114"/>
      <c r="F92" s="2114"/>
      <c r="G92" s="2114"/>
      <c r="H92" s="2114"/>
      <c r="I92" s="2114"/>
      <c r="J92" s="2114"/>
      <c r="K92" s="2114"/>
      <c r="L92" s="2115"/>
    </row>
    <row r="93" spans="1:13" x14ac:dyDescent="0.25">
      <c r="A93" s="686"/>
      <c r="B93" s="404"/>
      <c r="C93" s="404"/>
      <c r="D93" s="404"/>
      <c r="E93" s="369"/>
      <c r="F93" s="369"/>
      <c r="G93" s="369"/>
      <c r="H93" s="369"/>
      <c r="I93" s="369"/>
      <c r="J93" s="268"/>
      <c r="K93" s="369"/>
      <c r="L93" s="685"/>
    </row>
    <row r="94" spans="1:13" x14ac:dyDescent="0.25">
      <c r="A94" s="2116" t="s">
        <v>1136</v>
      </c>
      <c r="B94" s="2117"/>
      <c r="C94" s="2117"/>
      <c r="D94" s="2117"/>
      <c r="E94" s="2117"/>
      <c r="F94" s="2117"/>
      <c r="G94" s="2117"/>
      <c r="H94" s="2117"/>
      <c r="I94" s="369"/>
      <c r="J94" s="268"/>
      <c r="K94" s="369"/>
      <c r="L94" s="685"/>
    </row>
    <row r="95" spans="1:13" ht="30.75" customHeight="1" x14ac:dyDescent="0.25">
      <c r="A95" s="2103" t="s">
        <v>1137</v>
      </c>
      <c r="B95" s="2104"/>
      <c r="C95" s="2104"/>
      <c r="D95" s="2104"/>
      <c r="E95" s="2104"/>
      <c r="F95" s="2104"/>
      <c r="G95" s="2104"/>
      <c r="H95" s="2104"/>
      <c r="I95" s="369"/>
      <c r="J95" s="268"/>
      <c r="K95" s="369"/>
      <c r="L95" s="685"/>
    </row>
    <row r="96" spans="1:13" x14ac:dyDescent="0.25">
      <c r="A96" s="2101" t="s">
        <v>1138</v>
      </c>
      <c r="B96" s="2102"/>
      <c r="C96" s="2102"/>
      <c r="D96" s="2102"/>
      <c r="E96" s="2102"/>
      <c r="F96" s="2102"/>
      <c r="G96" s="2102"/>
      <c r="H96" s="2102"/>
      <c r="I96" s="369"/>
      <c r="J96" s="268"/>
      <c r="K96" s="369"/>
      <c r="L96" s="685"/>
    </row>
    <row r="97" spans="1:12" ht="18.75" customHeight="1" x14ac:dyDescent="0.25">
      <c r="A97" s="687" t="s">
        <v>1139</v>
      </c>
      <c r="B97" s="404"/>
      <c r="C97" s="404"/>
      <c r="D97" s="404"/>
      <c r="E97" s="369"/>
      <c r="F97" s="369"/>
      <c r="G97" s="369"/>
      <c r="H97" s="369"/>
      <c r="I97" s="369"/>
      <c r="J97" s="268"/>
      <c r="K97" s="369"/>
      <c r="L97" s="685"/>
    </row>
    <row r="98" spans="1:12" ht="15" customHeight="1" x14ac:dyDescent="0.25">
      <c r="A98" s="2101" t="s">
        <v>1140</v>
      </c>
      <c r="B98" s="2102"/>
      <c r="C98" s="2102"/>
      <c r="D98" s="2102"/>
      <c r="E98" s="2102"/>
      <c r="F98" s="2102"/>
      <c r="G98" s="2102"/>
      <c r="H98" s="369"/>
      <c r="I98" s="369"/>
      <c r="J98" s="268"/>
      <c r="K98" s="369"/>
      <c r="L98" s="685"/>
    </row>
    <row r="99" spans="1:12" ht="15" customHeight="1" x14ac:dyDescent="0.25">
      <c r="A99" s="2101" t="s">
        <v>1141</v>
      </c>
      <c r="B99" s="2102"/>
      <c r="C99" s="2102"/>
      <c r="D99" s="2102"/>
      <c r="E99" s="2102"/>
      <c r="F99" s="2102"/>
      <c r="G99" s="2102"/>
      <c r="H99" s="369"/>
      <c r="I99" s="369"/>
      <c r="J99" s="268"/>
      <c r="K99" s="369"/>
      <c r="L99" s="685"/>
    </row>
    <row r="100" spans="1:12" ht="39" customHeight="1" x14ac:dyDescent="0.25">
      <c r="A100" s="2103" t="s">
        <v>1142</v>
      </c>
      <c r="B100" s="2104"/>
      <c r="C100" s="2104"/>
      <c r="D100" s="2104"/>
      <c r="E100" s="2104"/>
      <c r="F100" s="2104"/>
      <c r="G100" s="2104"/>
      <c r="H100" s="369"/>
      <c r="I100" s="369"/>
      <c r="J100" s="268"/>
      <c r="K100" s="369"/>
      <c r="L100" s="685"/>
    </row>
    <row r="101" spans="1:12" ht="54.75" customHeight="1" thickBot="1" x14ac:dyDescent="0.3">
      <c r="A101" s="2105" t="s">
        <v>1143</v>
      </c>
      <c r="B101" s="2106"/>
      <c r="C101" s="2106"/>
      <c r="D101" s="2106"/>
      <c r="E101" s="2106"/>
      <c r="F101" s="2106"/>
      <c r="G101" s="2106"/>
      <c r="H101" s="2106"/>
      <c r="I101" s="2106"/>
      <c r="J101" s="2106"/>
      <c r="K101" s="2106"/>
      <c r="L101" s="2107"/>
    </row>
    <row r="102" spans="1:12" x14ac:dyDescent="0.25">
      <c r="A102" s="2100"/>
      <c r="B102" s="2100"/>
      <c r="C102" s="2100"/>
      <c r="D102" s="2100"/>
      <c r="E102" s="2100"/>
      <c r="F102" s="2100"/>
      <c r="G102" s="2100"/>
    </row>
    <row r="103" spans="1:12" ht="39" customHeight="1" x14ac:dyDescent="0.25">
      <c r="A103" s="2108"/>
      <c r="B103" s="2108"/>
      <c r="C103" s="2108"/>
      <c r="D103" s="2108"/>
      <c r="E103" s="2108"/>
      <c r="F103" s="2108"/>
      <c r="G103" s="2108"/>
    </row>
    <row r="104" spans="1:12" x14ac:dyDescent="0.25">
      <c r="A104" s="2100"/>
      <c r="B104" s="2100"/>
      <c r="C104" s="2100"/>
      <c r="D104" s="2100"/>
      <c r="E104" s="2100"/>
      <c r="F104" s="2100"/>
      <c r="G104" s="2100"/>
    </row>
    <row r="106" spans="1:12" ht="18.75" customHeight="1" x14ac:dyDescent="0.25"/>
    <row r="108" spans="1:12" x14ac:dyDescent="0.25">
      <c r="A108" s="688"/>
      <c r="B108"/>
      <c r="C108"/>
      <c r="D108"/>
    </row>
    <row r="110" spans="1:12" ht="31.5" customHeight="1" x14ac:dyDescent="0.25"/>
    <row r="115" spans="1:4" ht="27.75" customHeight="1" x14ac:dyDescent="0.25"/>
    <row r="116" spans="1:4" ht="67.5" customHeight="1" x14ac:dyDescent="0.25"/>
    <row r="120" spans="1:4" x14ac:dyDescent="0.25">
      <c r="A120"/>
      <c r="B120"/>
      <c r="C120"/>
      <c r="D120"/>
    </row>
    <row r="121" spans="1:4" x14ac:dyDescent="0.25">
      <c r="A121" s="689"/>
      <c r="B121"/>
      <c r="C121"/>
      <c r="D121"/>
    </row>
  </sheetData>
  <sheetProtection algorithmName="SHA-512" hashValue="Hpc/l7bkqj0m4guxHeC5+pREibVhXTRYTcOapc5ioU4gCEsHTEQXNTTZxTgT2chyrKVE7QzLn7c7CXbDgN70Pw==" saltValue="KF7SrbmO6taRTonNov3yxQ==" spinCount="100000" sheet="1" pivotTables="0"/>
  <protectedRanges>
    <protectedRange sqref="M34:M63" name="Rango3_1"/>
    <protectedRange sqref="F34:F54" name="Rango1_1"/>
    <protectedRange sqref="F56:F63" name="Rango2_1"/>
    <protectedRange sqref="M65:M87" name="Rango4_1"/>
  </protectedRanges>
  <mergeCells count="126">
    <mergeCell ref="B6:F6"/>
    <mergeCell ref="H6:J6"/>
    <mergeCell ref="B7:F7"/>
    <mergeCell ref="H7:J7"/>
    <mergeCell ref="A8:J8"/>
    <mergeCell ref="A9:J9"/>
    <mergeCell ref="E1:L1"/>
    <mergeCell ref="A2:A3"/>
    <mergeCell ref="B5:F5"/>
    <mergeCell ref="B2:H3"/>
    <mergeCell ref="I2:J2"/>
    <mergeCell ref="I3:J3"/>
    <mergeCell ref="G18:H18"/>
    <mergeCell ref="I18:J18"/>
    <mergeCell ref="A22:J22"/>
    <mergeCell ref="A23:H23"/>
    <mergeCell ref="A28:M28"/>
    <mergeCell ref="A30:A32"/>
    <mergeCell ref="B30:L30"/>
    <mergeCell ref="M30:M32"/>
    <mergeCell ref="B31:H31"/>
    <mergeCell ref="I31:I32"/>
    <mergeCell ref="J31:J32"/>
    <mergeCell ref="K31:K32"/>
    <mergeCell ref="L31:L32"/>
    <mergeCell ref="G17:H17"/>
    <mergeCell ref="G10:H10"/>
    <mergeCell ref="I10:J10"/>
    <mergeCell ref="G11:G12"/>
    <mergeCell ref="H11:H12"/>
    <mergeCell ref="I11:I12"/>
    <mergeCell ref="J11:J12"/>
    <mergeCell ref="A10:A12"/>
    <mergeCell ref="B10:B12"/>
    <mergeCell ref="C10:C12"/>
    <mergeCell ref="D10:D12"/>
    <mergeCell ref="E10:E12"/>
    <mergeCell ref="F10:F12"/>
    <mergeCell ref="A33:A63"/>
    <mergeCell ref="B33:M33"/>
    <mergeCell ref="J34:J36"/>
    <mergeCell ref="L34:L63"/>
    <mergeCell ref="I35:I36"/>
    <mergeCell ref="K35:K36"/>
    <mergeCell ref="M35:M36"/>
    <mergeCell ref="J37:J41"/>
    <mergeCell ref="I40:I41"/>
    <mergeCell ref="K40:K41"/>
    <mergeCell ref="M40:M41"/>
    <mergeCell ref="I42:I44"/>
    <mergeCell ref="J42:J48"/>
    <mergeCell ref="K42:K44"/>
    <mergeCell ref="M42:M44"/>
    <mergeCell ref="I45:I47"/>
    <mergeCell ref="K45:K47"/>
    <mergeCell ref="B55:K55"/>
    <mergeCell ref="J56:J63"/>
    <mergeCell ref="I57:I60"/>
    <mergeCell ref="K57:K60"/>
    <mergeCell ref="M57:M60"/>
    <mergeCell ref="I61:I62"/>
    <mergeCell ref="K61:K62"/>
    <mergeCell ref="M61:M62"/>
    <mergeCell ref="M45:M47"/>
    <mergeCell ref="I49:I50"/>
    <mergeCell ref="J49:J51"/>
    <mergeCell ref="K49:K50"/>
    <mergeCell ref="M49:M50"/>
    <mergeCell ref="J52:J54"/>
    <mergeCell ref="A64:M64"/>
    <mergeCell ref="A65:A71"/>
    <mergeCell ref="B65:H65"/>
    <mergeCell ref="I65:I67"/>
    <mergeCell ref="J65:J74"/>
    <mergeCell ref="K65:K74"/>
    <mergeCell ref="L65:L67"/>
    <mergeCell ref="M65:M67"/>
    <mergeCell ref="B66:H66"/>
    <mergeCell ref="B67:H67"/>
    <mergeCell ref="A72:A74"/>
    <mergeCell ref="B72:H72"/>
    <mergeCell ref="I72:I74"/>
    <mergeCell ref="L72:L74"/>
    <mergeCell ref="M72:M74"/>
    <mergeCell ref="B73:H73"/>
    <mergeCell ref="B74:H74"/>
    <mergeCell ref="B68:H68"/>
    <mergeCell ref="I68:I71"/>
    <mergeCell ref="L68:L71"/>
    <mergeCell ref="M68:M71"/>
    <mergeCell ref="B69:H69"/>
    <mergeCell ref="B70:H70"/>
    <mergeCell ref="B71:H71"/>
    <mergeCell ref="B81:H81"/>
    <mergeCell ref="A82:A87"/>
    <mergeCell ref="B82:H82"/>
    <mergeCell ref="J82:J87"/>
    <mergeCell ref="K82:K87"/>
    <mergeCell ref="L82:L87"/>
    <mergeCell ref="B83:H83"/>
    <mergeCell ref="B84:H84"/>
    <mergeCell ref="B85:H85"/>
    <mergeCell ref="B86:H86"/>
    <mergeCell ref="A75:A81"/>
    <mergeCell ref="B75:H75"/>
    <mergeCell ref="J75:J81"/>
    <mergeCell ref="K75:K81"/>
    <mergeCell ref="L75:L81"/>
    <mergeCell ref="B76:H76"/>
    <mergeCell ref="B77:H77"/>
    <mergeCell ref="B78:H78"/>
    <mergeCell ref="B79:H79"/>
    <mergeCell ref="B80:H80"/>
    <mergeCell ref="A104:G104"/>
    <mergeCell ref="A98:G98"/>
    <mergeCell ref="A99:G99"/>
    <mergeCell ref="A100:G100"/>
    <mergeCell ref="A101:L101"/>
    <mergeCell ref="A102:G102"/>
    <mergeCell ref="A103:G103"/>
    <mergeCell ref="B87:H87"/>
    <mergeCell ref="A90:L90"/>
    <mergeCell ref="A92:L92"/>
    <mergeCell ref="A94:H94"/>
    <mergeCell ref="A95:H95"/>
    <mergeCell ref="A96:H96"/>
  </mergeCells>
  <conditionalFormatting sqref="A1 E1:L1 B4:J4 A4:A6 L4:L7 G6:H7 A7:B7">
    <cfRule type="cellIs" dxfId="157" priority="18" operator="equal">
      <formula>"ERROR"</formula>
    </cfRule>
  </conditionalFormatting>
  <conditionalFormatting sqref="A2:B2 I2:I3">
    <cfRule type="cellIs" dxfId="156" priority="5" operator="equal">
      <formula>"ERROR"</formula>
    </cfRule>
  </conditionalFormatting>
  <conditionalFormatting sqref="G1:L1 F4:J4 G6:H7">
    <cfRule type="cellIs" dxfId="155" priority="14" operator="equal">
      <formula>"INEXISTENTE"</formula>
    </cfRule>
  </conditionalFormatting>
  <conditionalFormatting sqref="G1:L1 F4:J4 L4:L7 G6:H7">
    <cfRule type="cellIs" dxfId="154" priority="15" operator="equal">
      <formula>"INADECUADO"</formula>
    </cfRule>
    <cfRule type="cellIs" dxfId="153" priority="16" operator="equal">
      <formula>"PARCIALMENTE ADECUADO"</formula>
    </cfRule>
    <cfRule type="cellIs" dxfId="152" priority="17" operator="equal">
      <formula>"ADECUADO"</formula>
    </cfRule>
  </conditionalFormatting>
  <conditionalFormatting sqref="I2:I3">
    <cfRule type="cellIs" dxfId="151" priority="1" operator="equal">
      <formula>"INEXISTENTE"</formula>
    </cfRule>
    <cfRule type="cellIs" dxfId="150" priority="2" operator="equal">
      <formula>"INADECUADO"</formula>
    </cfRule>
    <cfRule type="cellIs" dxfId="149" priority="3" operator="equal">
      <formula>"PARCIALMENTE ADECUADO"</formula>
    </cfRule>
    <cfRule type="cellIs" dxfId="148" priority="4" operator="equal">
      <formula>"ADECUADO"</formula>
    </cfRule>
  </conditionalFormatting>
  <conditionalFormatting sqref="I18">
    <cfRule type="cellIs" dxfId="147" priority="21" stopIfTrue="1" operator="lessThan">
      <formula>0.75</formula>
    </cfRule>
    <cfRule type="cellIs" dxfId="146" priority="22" stopIfTrue="1" operator="greaterThanOrEqual">
      <formula>0.75</formula>
    </cfRule>
  </conditionalFormatting>
  <conditionalFormatting sqref="I17:J17">
    <cfRule type="cellIs" dxfId="145" priority="19" stopIfTrue="1" operator="lessThan">
      <formula>0.75</formula>
    </cfRule>
    <cfRule type="cellIs" dxfId="144" priority="20" stopIfTrue="1" operator="greaterThanOrEqual">
      <formula>0.75</formula>
    </cfRule>
  </conditionalFormatting>
  <conditionalFormatting sqref="L4:L7">
    <cfRule type="cellIs" dxfId="143" priority="6" operator="equal">
      <formula>"INEXISTENTE"</formula>
    </cfRule>
  </conditionalFormatting>
  <conditionalFormatting sqref="L5:L6 H6">
    <cfRule type="cellIs" dxfId="142" priority="10" operator="equal">
      <formula>"CRÍTICO"</formula>
    </cfRule>
    <cfRule type="cellIs" dxfId="141" priority="11" operator="equal">
      <formula>"ALTO"</formula>
    </cfRule>
    <cfRule type="cellIs" dxfId="140" priority="12" operator="equal">
      <formula>"MEDIO"</formula>
    </cfRule>
    <cfRule type="cellIs" dxfId="139" priority="13" operator="equal">
      <formula>"BAJO"</formula>
    </cfRule>
  </conditionalFormatting>
  <conditionalFormatting sqref="L5:L6">
    <cfRule type="cellIs" dxfId="138" priority="7" operator="equal">
      <formula>"INEFICAZ"</formula>
    </cfRule>
    <cfRule type="cellIs" dxfId="137" priority="8" operator="equal">
      <formula>"CON DEFICIENCIAS"</formula>
    </cfRule>
    <cfRule type="cellIs" dxfId="136" priority="9" operator="equal">
      <formula>"EFICAZ"</formula>
    </cfRule>
  </conditionalFormatting>
  <dataValidations count="16">
    <dataValidation type="custom" allowBlank="1" showInputMessage="1" showErrorMessage="1" sqref="M34 M38" xr:uid="{00000000-0002-0000-0900-000000000000}">
      <formula1>M34:M87&lt;=100%</formula1>
    </dataValidation>
    <dataValidation type="custom" allowBlank="1" showInputMessage="1" showErrorMessage="1" sqref="M39" xr:uid="{00000000-0002-0000-0900-000001000000}">
      <formula1>M39:M91&lt;=100%</formula1>
    </dataValidation>
    <dataValidation type="custom" allowBlank="1" showInputMessage="1" showErrorMessage="1" sqref="M37" xr:uid="{00000000-0002-0000-0900-000002000000}">
      <formula1>M37:M91&lt;=100%</formula1>
    </dataValidation>
    <dataValidation type="custom" allowBlank="1" showInputMessage="1" showErrorMessage="1" sqref="M40" xr:uid="{00000000-0002-0000-0900-000003000000}">
      <formula1>M40:M91&lt;=100%</formula1>
    </dataValidation>
    <dataValidation type="custom" allowBlank="1" showInputMessage="1" showErrorMessage="1" sqref="M42" xr:uid="{00000000-0002-0000-0900-000004000000}">
      <formula1>M42:M91&lt;=100%</formula1>
    </dataValidation>
    <dataValidation type="custom" allowBlank="1" showInputMessage="1" showErrorMessage="1" sqref="M49" xr:uid="{00000000-0002-0000-0900-000005000000}">
      <formula1>M49:M95&lt;=100%</formula1>
    </dataValidation>
    <dataValidation type="custom" allowBlank="1" showInputMessage="1" showErrorMessage="1" sqref="M65" xr:uid="{00000000-0002-0000-0900-000006000000}">
      <formula1>M65:M94&lt;=100%</formula1>
    </dataValidation>
    <dataValidation type="custom" allowBlank="1" showInputMessage="1" showErrorMessage="1" sqref="M57" xr:uid="{00000000-0002-0000-0900-000007000000}">
      <formula1>M57:M94&lt;=100%</formula1>
    </dataValidation>
    <dataValidation type="custom" allowBlank="1" showInputMessage="1" showErrorMessage="1" sqref="M61" xr:uid="{00000000-0002-0000-0900-000008000000}">
      <formula1>M61:M95&lt;=100%</formula1>
    </dataValidation>
    <dataValidation type="custom" allowBlank="1" showInputMessage="1" showErrorMessage="1" sqref="M68" xr:uid="{00000000-0002-0000-0900-000009000000}">
      <formula1>M68:M96&lt;=100%</formula1>
    </dataValidation>
    <dataValidation type="custom" allowBlank="1" showInputMessage="1" showErrorMessage="1" sqref="M63" xr:uid="{00000000-0002-0000-0900-00000A000000}">
      <formula1>M63:M95&lt;=100%</formula1>
    </dataValidation>
    <dataValidation type="custom" allowBlank="1" showInputMessage="1" showErrorMessage="1" sqref="M72 M75:M82" xr:uid="{00000000-0002-0000-0900-00000B000000}">
      <formula1>M72:M99&lt;=100%</formula1>
    </dataValidation>
    <dataValidation type="custom" allowBlank="1" showInputMessage="1" showErrorMessage="1" sqref="M83" xr:uid="{00000000-0002-0000-0900-00000C000000}">
      <formula1>M83:M109&lt;=100%</formula1>
    </dataValidation>
    <dataValidation type="custom" allowBlank="1" showInputMessage="1" showErrorMessage="1" sqref="M84:M85" xr:uid="{00000000-0002-0000-0900-00000D000000}">
      <formula1>M84:M109&lt;=100%</formula1>
    </dataValidation>
    <dataValidation type="custom" allowBlank="1" showInputMessage="1" showErrorMessage="1" sqref="M86:M87" xr:uid="{00000000-0002-0000-0900-00000E000000}">
      <formula1>M86:M110&lt;=100%</formula1>
    </dataValidation>
    <dataValidation type="custom" allowBlank="1" showInputMessage="1" showErrorMessage="1" sqref="M51:M54" xr:uid="{00000000-0002-0000-0900-00000F000000}">
      <formula1>M51:M94&lt;=100%</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92D050"/>
  </sheetPr>
  <dimension ref="A1:AT165"/>
  <sheetViews>
    <sheetView topLeftCell="I1" zoomScale="85" zoomScaleNormal="85" workbookViewId="0">
      <selection activeCell="B7" sqref="B7:C7"/>
    </sheetView>
  </sheetViews>
  <sheetFormatPr baseColWidth="10" defaultColWidth="11.42578125" defaultRowHeight="14.25" x14ac:dyDescent="0.25"/>
  <cols>
    <col min="1" max="1" width="33.85546875" style="291" customWidth="1"/>
    <col min="2" max="2" width="60.28515625" style="291" customWidth="1"/>
    <col min="3" max="3" width="29.5703125" style="291" customWidth="1"/>
    <col min="4" max="4" width="24.5703125" style="291" customWidth="1"/>
    <col min="5" max="5" width="28.85546875" style="291" customWidth="1"/>
    <col min="6" max="6" width="22.28515625" style="291" customWidth="1"/>
    <col min="7" max="7" width="31.5703125" style="291" customWidth="1"/>
    <col min="8" max="8" width="18" style="291" customWidth="1"/>
    <col min="9" max="9" width="33" style="291" customWidth="1"/>
    <col min="10" max="10" width="37.5703125" style="291" customWidth="1"/>
    <col min="11" max="11" width="23.7109375" style="291" customWidth="1"/>
    <col min="12" max="12" width="21.5703125" style="291" customWidth="1"/>
    <col min="13" max="13" width="33" style="291" customWidth="1"/>
    <col min="14" max="14" width="30.5703125" style="291" customWidth="1"/>
    <col min="15" max="15" width="15.28515625" style="291" customWidth="1"/>
    <col min="16" max="16" width="26.28515625" style="291" customWidth="1"/>
    <col min="17" max="17" width="14.7109375" style="291" customWidth="1"/>
    <col min="18" max="18" width="12.5703125" style="291" customWidth="1"/>
    <col min="19" max="19" width="33.140625" style="291" customWidth="1"/>
    <col min="20" max="45" width="11.42578125" style="291"/>
    <col min="46" max="46" width="48.85546875" style="291" customWidth="1"/>
    <col min="47" max="16384" width="11.42578125" style="291"/>
  </cols>
  <sheetData>
    <row r="1" spans="1:19" ht="66" customHeight="1" x14ac:dyDescent="0.25">
      <c r="A1" s="2245"/>
      <c r="B1" s="2008" t="s">
        <v>1596</v>
      </c>
      <c r="C1" s="2008"/>
      <c r="D1" s="2008"/>
      <c r="E1" s="2008"/>
      <c r="F1" s="2008"/>
      <c r="G1" s="2008"/>
      <c r="H1" s="2008"/>
      <c r="I1" s="2008"/>
      <c r="J1" s="2008"/>
      <c r="K1" s="2008"/>
      <c r="L1" s="2008"/>
      <c r="M1" s="2008"/>
      <c r="N1" s="2008"/>
      <c r="O1" s="2008"/>
      <c r="P1" s="2008"/>
      <c r="Q1" s="2008"/>
      <c r="R1" s="2008"/>
      <c r="S1" s="2250" t="s">
        <v>1732</v>
      </c>
    </row>
    <row r="2" spans="1:19" ht="42.75" customHeight="1" x14ac:dyDescent="0.25">
      <c r="A2" s="2245"/>
      <c r="B2" s="2008"/>
      <c r="C2" s="2008"/>
      <c r="D2" s="2008"/>
      <c r="E2" s="2008"/>
      <c r="F2" s="2008"/>
      <c r="G2" s="2008"/>
      <c r="H2" s="2008"/>
      <c r="I2" s="2008"/>
      <c r="J2" s="2008"/>
      <c r="K2" s="2008"/>
      <c r="L2" s="2008"/>
      <c r="M2" s="2008"/>
      <c r="N2" s="2008"/>
      <c r="O2" s="2008"/>
      <c r="P2" s="2008"/>
      <c r="Q2" s="2008"/>
      <c r="R2" s="2008"/>
      <c r="S2" s="2250"/>
    </row>
    <row r="3" spans="1:19" x14ac:dyDescent="0.25">
      <c r="H3" s="300"/>
      <c r="I3" s="300"/>
      <c r="J3" s="300"/>
      <c r="K3" s="300"/>
      <c r="L3" s="300"/>
      <c r="M3" s="300"/>
      <c r="N3" s="300"/>
      <c r="O3" s="300"/>
      <c r="P3" s="300"/>
      <c r="Q3" s="300"/>
      <c r="R3" s="300"/>
      <c r="S3" s="300"/>
    </row>
    <row r="4" spans="1:19" ht="18" x14ac:dyDescent="0.25">
      <c r="A4" s="2253" t="s">
        <v>1570</v>
      </c>
      <c r="B4" s="2253"/>
      <c r="C4" s="2253"/>
      <c r="D4" s="2253"/>
      <c r="E4" s="2253"/>
      <c r="F4" s="2253"/>
      <c r="G4" s="2253"/>
      <c r="H4" s="690"/>
      <c r="I4" s="690"/>
      <c r="J4" s="690"/>
      <c r="K4" s="690"/>
      <c r="L4" s="690"/>
      <c r="M4" s="690"/>
      <c r="N4" s="690"/>
      <c r="O4" s="690"/>
      <c r="P4" s="690"/>
      <c r="Q4" s="690"/>
      <c r="R4" s="690"/>
      <c r="S4" s="690"/>
    </row>
    <row r="5" spans="1:19" ht="18" x14ac:dyDescent="0.25">
      <c r="A5" s="2253" t="s">
        <v>1552</v>
      </c>
      <c r="B5" s="2253"/>
      <c r="C5" s="2253"/>
      <c r="D5" s="2253"/>
      <c r="E5" s="2253"/>
      <c r="F5" s="2253"/>
      <c r="G5" s="2253"/>
      <c r="H5" s="690"/>
      <c r="I5" s="690"/>
      <c r="J5" s="690"/>
      <c r="K5" s="690"/>
      <c r="L5" s="690"/>
      <c r="M5" s="690"/>
      <c r="N5" s="690"/>
      <c r="O5" s="690"/>
      <c r="P5" s="690"/>
      <c r="Q5" s="690"/>
      <c r="R5" s="690"/>
      <c r="S5" s="690"/>
    </row>
    <row r="6" spans="1:19" ht="18" x14ac:dyDescent="0.25">
      <c r="A6" s="250"/>
      <c r="B6" s="250"/>
      <c r="C6" s="250"/>
      <c r="D6" s="250"/>
      <c r="E6" s="250"/>
      <c r="F6" s="250"/>
      <c r="G6" s="250"/>
      <c r="H6" s="250"/>
      <c r="I6" s="250"/>
      <c r="J6" s="250"/>
      <c r="K6" s="250"/>
      <c r="L6" s="250"/>
      <c r="M6" s="250"/>
      <c r="N6" s="250"/>
      <c r="O6" s="250"/>
      <c r="P6" s="250"/>
      <c r="Q6" s="250"/>
      <c r="R6" s="250"/>
      <c r="S6" s="250"/>
    </row>
    <row r="7" spans="1:19" ht="18" x14ac:dyDescent="0.25">
      <c r="A7" s="694" t="s">
        <v>0</v>
      </c>
      <c r="B7" s="1856" t="str">
        <f>+FENECIMIENTO!D4</f>
        <v xml:space="preserve">80000 - DIRECCIÓN SECTOR MOVILIDAD </v>
      </c>
      <c r="C7" s="1856"/>
      <c r="D7" s="831"/>
      <c r="E7" s="597"/>
      <c r="F7" s="597"/>
      <c r="G7" s="597"/>
      <c r="H7" s="597"/>
      <c r="I7" s="300"/>
      <c r="J7" s="300"/>
      <c r="K7" s="300"/>
      <c r="L7" s="300"/>
      <c r="M7" s="300"/>
      <c r="N7" s="300"/>
      <c r="O7" s="300"/>
      <c r="P7" s="300"/>
      <c r="Q7" s="739"/>
      <c r="R7" s="739"/>
    </row>
    <row r="8" spans="1:19" ht="34.9" customHeight="1" x14ac:dyDescent="0.25">
      <c r="A8" s="785" t="s">
        <v>1144</v>
      </c>
      <c r="B8" s="2251" t="str">
        <f>+FENECIMIENTO!D5</f>
        <v xml:space="preserve">262 - Empresa de Transporte del Tercer Milenio - Transmilenio S.A. </v>
      </c>
      <c r="C8" s="2252"/>
      <c r="D8" s="597"/>
      <c r="E8" s="694" t="s">
        <v>2</v>
      </c>
      <c r="F8" s="1856">
        <f>+FENECIMIENTO!K5</f>
        <v>2024</v>
      </c>
      <c r="G8" s="1856"/>
      <c r="H8" s="598"/>
      <c r="I8" s="696"/>
      <c r="J8" s="696"/>
      <c r="K8" s="696"/>
      <c r="L8" s="696"/>
      <c r="M8" s="696"/>
      <c r="N8" s="696"/>
      <c r="O8" s="696"/>
      <c r="P8" s="696"/>
      <c r="Q8" s="832"/>
      <c r="R8" s="832"/>
    </row>
    <row r="9" spans="1:19" ht="15" x14ac:dyDescent="0.25">
      <c r="A9" s="694" t="s">
        <v>1589</v>
      </c>
      <c r="B9" s="2213">
        <f>+FENECIMIENTO!D6</f>
        <v>2025</v>
      </c>
      <c r="C9" s="2213"/>
      <c r="D9" s="597"/>
      <c r="E9" s="694" t="s">
        <v>3</v>
      </c>
      <c r="F9" s="2213">
        <f>+FENECIMIENTO!K6</f>
        <v>87</v>
      </c>
      <c r="G9" s="2213"/>
      <c r="H9" s="598"/>
      <c r="I9" s="696"/>
      <c r="J9" s="696"/>
      <c r="K9" s="696"/>
      <c r="L9" s="696"/>
      <c r="M9" s="696"/>
      <c r="N9" s="696"/>
      <c r="O9" s="739"/>
      <c r="P9" s="739"/>
      <c r="Q9" s="832"/>
      <c r="R9" s="832"/>
    </row>
    <row r="10" spans="1:19" ht="15" x14ac:dyDescent="0.25">
      <c r="A10" s="694" t="s">
        <v>4</v>
      </c>
      <c r="B10" s="2214">
        <f>+FENECIMIENTO!D7</f>
        <v>45693</v>
      </c>
      <c r="C10" s="2213"/>
      <c r="D10" s="597"/>
      <c r="E10" s="694" t="s">
        <v>1145</v>
      </c>
      <c r="F10" s="2214">
        <f>+FENECIMIENTO!K7</f>
        <v>45693</v>
      </c>
      <c r="G10" s="2213"/>
      <c r="H10" s="598"/>
      <c r="I10" s="696"/>
      <c r="J10" s="696"/>
      <c r="K10" s="696"/>
      <c r="L10" s="696"/>
      <c r="M10" s="696"/>
      <c r="N10" s="696"/>
      <c r="O10" s="696"/>
      <c r="P10" s="696"/>
      <c r="Q10" s="832"/>
      <c r="R10" s="832"/>
    </row>
    <row r="11" spans="1:19" ht="15" x14ac:dyDescent="0.25">
      <c r="A11" s="694"/>
      <c r="B11" s="1015"/>
      <c r="C11" s="597"/>
      <c r="D11" s="597"/>
      <c r="E11" s="694"/>
      <c r="F11" s="300"/>
      <c r="G11" s="300"/>
      <c r="H11" s="598"/>
      <c r="I11" s="696"/>
      <c r="J11" s="696"/>
      <c r="K11" s="696"/>
      <c r="L11" s="696"/>
      <c r="M11" s="696"/>
      <c r="N11" s="696"/>
      <c r="O11" s="696"/>
      <c r="P11" s="696"/>
      <c r="Q11" s="832"/>
      <c r="R11" s="832"/>
    </row>
    <row r="12" spans="1:19" ht="15.75" thickBot="1" x14ac:dyDescent="0.3">
      <c r="A12" s="694"/>
      <c r="B12" s="691"/>
      <c r="C12" s="1543"/>
      <c r="E12" s="695"/>
      <c r="F12" s="696"/>
      <c r="G12" s="696"/>
      <c r="H12" s="598"/>
      <c r="I12" s="696"/>
      <c r="J12" s="696"/>
      <c r="K12" s="696"/>
      <c r="L12" s="696"/>
      <c r="M12" s="696"/>
      <c r="N12" s="696"/>
      <c r="O12" s="696"/>
      <c r="P12" s="696"/>
      <c r="Q12" s="832"/>
      <c r="R12" s="832"/>
    </row>
    <row r="13" spans="1:19" ht="15" x14ac:dyDescent="0.25">
      <c r="A13" s="2246" t="s">
        <v>1497</v>
      </c>
      <c r="B13" s="2247"/>
      <c r="C13" s="2230" t="s">
        <v>1498</v>
      </c>
      <c r="D13" s="2230"/>
      <c r="E13" s="2230"/>
      <c r="F13" s="2230"/>
      <c r="G13" s="2230"/>
      <c r="H13" s="2230"/>
      <c r="I13" s="2230"/>
      <c r="J13" s="2229" t="s">
        <v>1499</v>
      </c>
      <c r="K13" s="2230"/>
      <c r="L13" s="2230"/>
      <c r="M13" s="2230"/>
      <c r="N13" s="2230"/>
      <c r="O13" s="2230"/>
      <c r="P13" s="2230"/>
      <c r="Q13" s="2230"/>
      <c r="R13" s="2230"/>
      <c r="S13" s="833"/>
    </row>
    <row r="14" spans="1:19" ht="15" thickBot="1" x14ac:dyDescent="0.3">
      <c r="A14" s="2248"/>
      <c r="B14" s="2249"/>
      <c r="C14" s="2232"/>
      <c r="D14" s="2232"/>
      <c r="E14" s="2232"/>
      <c r="F14" s="2232"/>
      <c r="G14" s="2232"/>
      <c r="H14" s="2232"/>
      <c r="I14" s="2232"/>
      <c r="J14" s="2231"/>
      <c r="K14" s="2232"/>
      <c r="L14" s="2232"/>
      <c r="M14" s="2232"/>
      <c r="N14" s="2232"/>
      <c r="O14" s="2232"/>
      <c r="P14" s="2232"/>
      <c r="Q14" s="2232"/>
      <c r="R14" s="2232"/>
      <c r="S14" s="834" t="s">
        <v>1500</v>
      </c>
    </row>
    <row r="15" spans="1:19" ht="65.25" customHeight="1" x14ac:dyDescent="0.25">
      <c r="A15" s="2233" t="s">
        <v>301</v>
      </c>
      <c r="B15" s="2235" t="s">
        <v>1501</v>
      </c>
      <c r="C15" s="2233" t="s">
        <v>1502</v>
      </c>
      <c r="D15" s="2237" t="s">
        <v>1503</v>
      </c>
      <c r="E15" s="2237" t="s">
        <v>1504</v>
      </c>
      <c r="F15" s="2237" t="s">
        <v>1505</v>
      </c>
      <c r="G15" s="2237" t="s">
        <v>1506</v>
      </c>
      <c r="H15" s="2237" t="s">
        <v>1507</v>
      </c>
      <c r="I15" s="2235" t="s">
        <v>1508</v>
      </c>
      <c r="J15" s="2233" t="s">
        <v>1509</v>
      </c>
      <c r="K15" s="2237" t="s">
        <v>1510</v>
      </c>
      <c r="L15" s="2237"/>
      <c r="M15" s="2237" t="s">
        <v>1511</v>
      </c>
      <c r="N15" s="2237" t="s">
        <v>1512</v>
      </c>
      <c r="O15" s="2239" t="s">
        <v>1513</v>
      </c>
      <c r="P15" s="2240"/>
      <c r="Q15" s="2241"/>
      <c r="R15" s="2237" t="s">
        <v>1514</v>
      </c>
      <c r="S15" s="2235" t="s">
        <v>1515</v>
      </c>
    </row>
    <row r="16" spans="1:19" ht="23.25" customHeight="1" thickBot="1" x14ac:dyDescent="0.3">
      <c r="A16" s="2234"/>
      <c r="B16" s="2236"/>
      <c r="C16" s="2234"/>
      <c r="D16" s="2238"/>
      <c r="E16" s="2238"/>
      <c r="F16" s="2238"/>
      <c r="G16" s="2238"/>
      <c r="H16" s="2238"/>
      <c r="I16" s="2236"/>
      <c r="J16" s="2234"/>
      <c r="K16" s="835" t="s">
        <v>1516</v>
      </c>
      <c r="L16" s="835" t="s">
        <v>1517</v>
      </c>
      <c r="M16" s="2238"/>
      <c r="N16" s="2238"/>
      <c r="O16" s="2242"/>
      <c r="P16" s="2243"/>
      <c r="Q16" s="2244"/>
      <c r="R16" s="2238"/>
      <c r="S16" s="2236"/>
    </row>
    <row r="17" spans="1:46" s="598" customFormat="1" ht="16.5" customHeight="1" x14ac:dyDescent="0.25">
      <c r="A17" s="2254"/>
      <c r="B17" s="2255"/>
      <c r="C17" s="2255"/>
      <c r="D17" s="2255"/>
      <c r="E17" s="2255"/>
      <c r="F17" s="2255"/>
      <c r="G17" s="2255"/>
      <c r="H17" s="2255"/>
      <c r="I17" s="2255"/>
      <c r="J17" s="2255"/>
      <c r="K17" s="2255"/>
      <c r="L17" s="2255"/>
      <c r="M17" s="2255"/>
      <c r="N17" s="2255"/>
      <c r="O17" s="2255"/>
      <c r="P17" s="2255"/>
      <c r="Q17" s="2255"/>
      <c r="R17" s="2255"/>
      <c r="S17" s="2256"/>
    </row>
    <row r="18" spans="1:46" s="1454" customFormat="1" ht="13.9" customHeight="1" x14ac:dyDescent="0.25">
      <c r="A18" s="1448">
        <v>41</v>
      </c>
      <c r="B18" s="1449" t="s">
        <v>469</v>
      </c>
      <c r="C18" s="1450">
        <v>10000000000</v>
      </c>
      <c r="D18" s="1451">
        <f>IF(C18="","",C18/$C$18)</f>
        <v>1</v>
      </c>
      <c r="E18" s="1450">
        <v>12000000000</v>
      </c>
      <c r="F18" s="1451">
        <f>IF(E18="","",E18/$E$18)</f>
        <v>1</v>
      </c>
      <c r="G18" s="1452">
        <f>IF(AND(C18="",E18=""),"",E18-C18)</f>
        <v>2000000000</v>
      </c>
      <c r="H18" s="1451">
        <f>IF(E18="",G18/C18,G18/E18)</f>
        <v>0.16666666666666666</v>
      </c>
      <c r="I18" s="1166"/>
      <c r="J18" s="1450">
        <v>12000000000</v>
      </c>
      <c r="K18" s="1450"/>
      <c r="L18" s="1450"/>
      <c r="M18" s="1452">
        <f>IF(J18="","",J18-K18+L18)</f>
        <v>12000000000</v>
      </c>
      <c r="N18" s="1450">
        <v>12000000000</v>
      </c>
      <c r="O18" s="1451">
        <f>IF(OR(E18="",N18=""),"",N18/E18)</f>
        <v>1</v>
      </c>
      <c r="P18" s="1451"/>
      <c r="Q18" s="1451"/>
      <c r="R18" s="1453" t="s">
        <v>486</v>
      </c>
      <c r="S18" s="1168"/>
      <c r="AT18" s="1403" t="str">
        <f t="shared" ref="AT18:AT67" si="0">CONCATENATE(A18,"-",B18)</f>
        <v>41-INGRESOS</v>
      </c>
    </row>
    <row r="19" spans="1:46" s="1454" customFormat="1" ht="19.899999999999999" customHeight="1" x14ac:dyDescent="0.25">
      <c r="A19" s="1448">
        <v>410</v>
      </c>
      <c r="B19" s="1449" t="s">
        <v>1297</v>
      </c>
      <c r="C19" s="1450">
        <v>2000000</v>
      </c>
      <c r="D19" s="1451">
        <f t="shared" ref="D19:D67" si="1">IF(C19="","",C19/$C$18)</f>
        <v>2.0000000000000001E-4</v>
      </c>
      <c r="E19" s="1450">
        <v>200000</v>
      </c>
      <c r="F19" s="1451">
        <f t="shared" ref="F19:F67" si="2">IF(E19="","",E19/$E$18)</f>
        <v>1.6666666666666667E-5</v>
      </c>
      <c r="G19" s="1452">
        <f t="shared" ref="G19:G67" si="3">IF(AND(C19="",E19=""),"",E19-C19)</f>
        <v>-1800000</v>
      </c>
      <c r="H19" s="1451">
        <f t="shared" ref="H19:H67" si="4">IF(E19="",G19/C19,G19/E19)</f>
        <v>-9</v>
      </c>
      <c r="I19" s="1166"/>
      <c r="J19" s="1450">
        <v>200000</v>
      </c>
      <c r="K19" s="1450"/>
      <c r="L19" s="1450"/>
      <c r="M19" s="1452">
        <f t="shared" ref="M19:M67" si="5">IF(J19="","",J19-K19+L19)</f>
        <v>200000</v>
      </c>
      <c r="N19" s="1450">
        <v>200000</v>
      </c>
      <c r="O19" s="1451">
        <f t="shared" ref="O19:O43" si="6">IF(OR(E19="",N19=""),"",N19/E19)</f>
        <v>1</v>
      </c>
      <c r="P19" s="1451"/>
      <c r="Q19" s="1451"/>
      <c r="R19" s="1453"/>
      <c r="S19" s="1168"/>
      <c r="AT19" s="1403" t="str">
        <f t="shared" si="0"/>
        <v>410-DISPONIBILIDAD INICIAL</v>
      </c>
    </row>
    <row r="20" spans="1:46" s="1460" customFormat="1" ht="15" x14ac:dyDescent="0.25">
      <c r="A20" s="1455">
        <v>41002</v>
      </c>
      <c r="B20" s="1456" t="s">
        <v>1301</v>
      </c>
      <c r="C20" s="1457">
        <v>3000000</v>
      </c>
      <c r="D20" s="1458">
        <f t="shared" si="1"/>
        <v>2.9999999999999997E-4</v>
      </c>
      <c r="E20" s="1457">
        <v>5000000</v>
      </c>
      <c r="F20" s="1458">
        <f t="shared" si="2"/>
        <v>4.1666666666666669E-4</v>
      </c>
      <c r="G20" s="1459">
        <f t="shared" si="3"/>
        <v>2000000</v>
      </c>
      <c r="H20" s="1458">
        <f t="shared" si="4"/>
        <v>0.4</v>
      </c>
      <c r="I20" s="1167"/>
      <c r="J20" s="1457">
        <v>5000000</v>
      </c>
      <c r="K20" s="1457"/>
      <c r="L20" s="1457"/>
      <c r="M20" s="1459">
        <f t="shared" si="5"/>
        <v>5000000</v>
      </c>
      <c r="N20" s="1457">
        <v>5000000</v>
      </c>
      <c r="O20" s="1458">
        <f t="shared" si="6"/>
        <v>1</v>
      </c>
      <c r="P20" s="1458"/>
      <c r="Q20" s="1458"/>
      <c r="R20" s="1453"/>
      <c r="S20" s="1169"/>
      <c r="AT20" s="1404" t="str">
        <f t="shared" si="0"/>
        <v>41002-Bancos</v>
      </c>
    </row>
    <row r="21" spans="1:46" s="1460" customFormat="1" ht="15" x14ac:dyDescent="0.25">
      <c r="A21" s="1455">
        <v>41003</v>
      </c>
      <c r="B21" s="1456" t="s">
        <v>1305</v>
      </c>
      <c r="C21" s="1457">
        <v>120000</v>
      </c>
      <c r="D21" s="1458">
        <f t="shared" si="1"/>
        <v>1.2E-5</v>
      </c>
      <c r="E21" s="1457">
        <v>120000</v>
      </c>
      <c r="F21" s="1458">
        <f t="shared" si="2"/>
        <v>1.0000000000000001E-5</v>
      </c>
      <c r="G21" s="1459">
        <f t="shared" si="3"/>
        <v>0</v>
      </c>
      <c r="H21" s="1458">
        <f t="shared" si="4"/>
        <v>0</v>
      </c>
      <c r="I21" s="1167"/>
      <c r="J21" s="1457">
        <v>120000</v>
      </c>
      <c r="K21" s="1457"/>
      <c r="L21" s="1457"/>
      <c r="M21" s="1459">
        <f t="shared" si="5"/>
        <v>120000</v>
      </c>
      <c r="N21" s="1457">
        <v>120000</v>
      </c>
      <c r="O21" s="1458">
        <f t="shared" si="6"/>
        <v>1</v>
      </c>
      <c r="P21" s="1458"/>
      <c r="Q21" s="1458"/>
      <c r="R21" s="1453" t="s">
        <v>1572</v>
      </c>
      <c r="S21" s="1169"/>
      <c r="AT21" s="1404" t="str">
        <f t="shared" si="0"/>
        <v>41003-Inversiones Temporales</v>
      </c>
    </row>
    <row r="22" spans="1:46" s="1454" customFormat="1" ht="15" x14ac:dyDescent="0.25">
      <c r="A22" s="1448">
        <v>411</v>
      </c>
      <c r="B22" s="1449" t="s">
        <v>1309</v>
      </c>
      <c r="C22" s="1450">
        <v>2000000</v>
      </c>
      <c r="D22" s="1451">
        <f t="shared" si="1"/>
        <v>2.0000000000000001E-4</v>
      </c>
      <c r="E22" s="1450">
        <v>2000000</v>
      </c>
      <c r="F22" s="1451">
        <f t="shared" si="2"/>
        <v>1.6666666666666666E-4</v>
      </c>
      <c r="G22" s="1452">
        <f t="shared" si="3"/>
        <v>0</v>
      </c>
      <c r="H22" s="1451">
        <f t="shared" si="4"/>
        <v>0</v>
      </c>
      <c r="I22" s="1166"/>
      <c r="J22" s="1450">
        <v>2000000</v>
      </c>
      <c r="K22" s="1450"/>
      <c r="L22" s="1450"/>
      <c r="M22" s="1452">
        <f t="shared" si="5"/>
        <v>2000000</v>
      </c>
      <c r="N22" s="1450">
        <v>2000000</v>
      </c>
      <c r="O22" s="1451">
        <f t="shared" si="6"/>
        <v>1</v>
      </c>
      <c r="P22" s="1451"/>
      <c r="Q22" s="1451"/>
      <c r="R22" s="1453"/>
      <c r="S22" s="1168"/>
      <c r="AT22" s="1403" t="str">
        <f t="shared" si="0"/>
        <v>411-INGRESOS CORRIENTES</v>
      </c>
    </row>
    <row r="23" spans="1:46" s="1460" customFormat="1" ht="15" x14ac:dyDescent="0.25">
      <c r="A23" s="1455">
        <v>41101</v>
      </c>
      <c r="B23" s="1456" t="s">
        <v>1313</v>
      </c>
      <c r="C23" s="1457">
        <v>1200000</v>
      </c>
      <c r="D23" s="1458">
        <f t="shared" si="1"/>
        <v>1.2E-4</v>
      </c>
      <c r="E23" s="1457">
        <v>12000</v>
      </c>
      <c r="F23" s="1458">
        <f t="shared" si="2"/>
        <v>9.9999999999999995E-7</v>
      </c>
      <c r="G23" s="1459">
        <f t="shared" si="3"/>
        <v>-1188000</v>
      </c>
      <c r="H23" s="1458">
        <f t="shared" si="4"/>
        <v>-99</v>
      </c>
      <c r="I23" s="1167"/>
      <c r="J23" s="1457">
        <v>12000</v>
      </c>
      <c r="K23" s="1457"/>
      <c r="L23" s="1457"/>
      <c r="M23" s="1459">
        <f t="shared" si="5"/>
        <v>12000</v>
      </c>
      <c r="N23" s="1457">
        <v>12000</v>
      </c>
      <c r="O23" s="1458">
        <f t="shared" si="6"/>
        <v>1</v>
      </c>
      <c r="P23" s="1458"/>
      <c r="Q23" s="1458"/>
      <c r="R23" s="1453" t="s">
        <v>1571</v>
      </c>
      <c r="S23" s="1169"/>
      <c r="AT23" s="1404" t="str">
        <f t="shared" si="0"/>
        <v>41101-Tributarios</v>
      </c>
    </row>
    <row r="24" spans="1:46" s="1460" customFormat="1" ht="15" x14ac:dyDescent="0.25">
      <c r="A24" s="1455">
        <v>41102</v>
      </c>
      <c r="B24" s="1456" t="s">
        <v>1319</v>
      </c>
      <c r="C24" s="1457">
        <v>1200000</v>
      </c>
      <c r="D24" s="1458">
        <f t="shared" si="1"/>
        <v>1.2E-4</v>
      </c>
      <c r="E24" s="1457">
        <v>12000</v>
      </c>
      <c r="F24" s="1458">
        <f t="shared" si="2"/>
        <v>9.9999999999999995E-7</v>
      </c>
      <c r="G24" s="1459">
        <f t="shared" si="3"/>
        <v>-1188000</v>
      </c>
      <c r="H24" s="1458">
        <f t="shared" si="4"/>
        <v>-99</v>
      </c>
      <c r="I24" s="1167"/>
      <c r="J24" s="1457">
        <v>12000</v>
      </c>
      <c r="K24" s="1457"/>
      <c r="L24" s="1457"/>
      <c r="M24" s="1459">
        <f t="shared" si="5"/>
        <v>12000</v>
      </c>
      <c r="N24" s="1457">
        <v>12000</v>
      </c>
      <c r="O24" s="1458">
        <f t="shared" si="6"/>
        <v>1</v>
      </c>
      <c r="P24" s="1458"/>
      <c r="Q24" s="1458"/>
      <c r="R24" s="1453"/>
      <c r="S24" s="1169"/>
      <c r="AT24" s="1404" t="str">
        <f t="shared" si="0"/>
        <v>41102-No Tributarios</v>
      </c>
    </row>
    <row r="25" spans="1:46" s="1454" customFormat="1" ht="15" x14ac:dyDescent="0.25">
      <c r="A25" s="1448">
        <v>412</v>
      </c>
      <c r="B25" s="1449" t="s">
        <v>1324</v>
      </c>
      <c r="C25" s="1450">
        <v>1200000</v>
      </c>
      <c r="D25" s="1451">
        <f t="shared" si="1"/>
        <v>1.2E-4</v>
      </c>
      <c r="E25" s="1450">
        <v>12000</v>
      </c>
      <c r="F25" s="1451">
        <f t="shared" si="2"/>
        <v>9.9999999999999995E-7</v>
      </c>
      <c r="G25" s="1452">
        <f t="shared" si="3"/>
        <v>-1188000</v>
      </c>
      <c r="H25" s="1451">
        <f t="shared" si="4"/>
        <v>-99</v>
      </c>
      <c r="I25" s="1166"/>
      <c r="J25" s="1450">
        <v>12000</v>
      </c>
      <c r="K25" s="1450"/>
      <c r="L25" s="1450"/>
      <c r="M25" s="1452">
        <f t="shared" si="5"/>
        <v>12000</v>
      </c>
      <c r="N25" s="1450">
        <v>12000</v>
      </c>
      <c r="O25" s="1451">
        <f t="shared" si="6"/>
        <v>1</v>
      </c>
      <c r="P25" s="1451"/>
      <c r="Q25" s="1451"/>
      <c r="R25" s="1453"/>
      <c r="S25" s="1168"/>
      <c r="AT25" s="1403" t="str">
        <f t="shared" si="0"/>
        <v>412-RECURSOS DE CAPITAL</v>
      </c>
    </row>
    <row r="26" spans="1:46" s="1460" customFormat="1" ht="15" x14ac:dyDescent="0.25">
      <c r="A26" s="1455">
        <v>41201</v>
      </c>
      <c r="B26" s="1456" t="s">
        <v>1329</v>
      </c>
      <c r="C26" s="1457">
        <v>1200000</v>
      </c>
      <c r="D26" s="1458">
        <f t="shared" si="1"/>
        <v>1.2E-4</v>
      </c>
      <c r="E26" s="1457">
        <v>14000</v>
      </c>
      <c r="F26" s="1458">
        <f t="shared" si="2"/>
        <v>1.1666666666666666E-6</v>
      </c>
      <c r="G26" s="1459">
        <f t="shared" si="3"/>
        <v>-1186000</v>
      </c>
      <c r="H26" s="1458">
        <f t="shared" si="4"/>
        <v>-84.714285714285708</v>
      </c>
      <c r="I26" s="1167"/>
      <c r="J26" s="1457">
        <v>14000</v>
      </c>
      <c r="K26" s="1457"/>
      <c r="L26" s="1457"/>
      <c r="M26" s="1459">
        <f t="shared" si="5"/>
        <v>14000</v>
      </c>
      <c r="N26" s="1457">
        <v>14000</v>
      </c>
      <c r="O26" s="1458">
        <f t="shared" si="6"/>
        <v>1</v>
      </c>
      <c r="P26" s="1458"/>
      <c r="Q26" s="1458"/>
      <c r="R26" s="1453"/>
      <c r="S26" s="1169"/>
      <c r="AT26" s="1404" t="str">
        <f t="shared" si="0"/>
        <v>41201-Disposición de activos</v>
      </c>
    </row>
    <row r="27" spans="1:46" s="1460" customFormat="1" ht="15" x14ac:dyDescent="0.25">
      <c r="A27" s="1455">
        <v>41202</v>
      </c>
      <c r="B27" s="1456" t="s">
        <v>1333</v>
      </c>
      <c r="C27" s="1457">
        <v>1200000</v>
      </c>
      <c r="D27" s="1458">
        <f t="shared" si="1"/>
        <v>1.2E-4</v>
      </c>
      <c r="E27" s="1457">
        <v>14000</v>
      </c>
      <c r="F27" s="1458">
        <f t="shared" si="2"/>
        <v>1.1666666666666666E-6</v>
      </c>
      <c r="G27" s="1459">
        <f t="shared" si="3"/>
        <v>-1186000</v>
      </c>
      <c r="H27" s="1458">
        <f t="shared" si="4"/>
        <v>-84.714285714285708</v>
      </c>
      <c r="I27" s="1167"/>
      <c r="J27" s="1457">
        <v>14000</v>
      </c>
      <c r="K27" s="1457"/>
      <c r="L27" s="1457"/>
      <c r="M27" s="1459">
        <f t="shared" si="5"/>
        <v>14000</v>
      </c>
      <c r="N27" s="1457">
        <v>14000</v>
      </c>
      <c r="O27" s="1458">
        <f t="shared" si="6"/>
        <v>1</v>
      </c>
      <c r="P27" s="1458"/>
      <c r="Q27" s="1458"/>
      <c r="R27" s="1453"/>
      <c r="S27" s="1169"/>
      <c r="AT27" s="1404" t="str">
        <f t="shared" si="0"/>
        <v>41202-Excedentes financieros</v>
      </c>
    </row>
    <row r="28" spans="1:46" s="1460" customFormat="1" ht="13.5" customHeight="1" x14ac:dyDescent="0.25">
      <c r="A28" s="1455">
        <v>41203</v>
      </c>
      <c r="B28" s="1456" t="s">
        <v>1338</v>
      </c>
      <c r="C28" s="1457">
        <v>1200000</v>
      </c>
      <c r="D28" s="1458">
        <f t="shared" si="1"/>
        <v>1.2E-4</v>
      </c>
      <c r="E28" s="1457">
        <v>14000</v>
      </c>
      <c r="F28" s="1458">
        <f t="shared" si="2"/>
        <v>1.1666666666666666E-6</v>
      </c>
      <c r="G28" s="1459">
        <f t="shared" si="3"/>
        <v>-1186000</v>
      </c>
      <c r="H28" s="1458">
        <f t="shared" si="4"/>
        <v>-84.714285714285708</v>
      </c>
      <c r="I28" s="1167"/>
      <c r="J28" s="1457">
        <v>14000</v>
      </c>
      <c r="K28" s="1457"/>
      <c r="L28" s="1457"/>
      <c r="M28" s="1459">
        <f t="shared" si="5"/>
        <v>14000</v>
      </c>
      <c r="N28" s="1457">
        <v>14000</v>
      </c>
      <c r="O28" s="1458">
        <f t="shared" si="6"/>
        <v>1</v>
      </c>
      <c r="P28" s="1458"/>
      <c r="Q28" s="1458"/>
      <c r="R28" s="1453"/>
      <c r="S28" s="1169"/>
      <c r="AT28" s="1404" t="str">
        <f t="shared" si="0"/>
        <v>41203-Dividendos y utilidades por otras Inversiones de CAPITAL</v>
      </c>
    </row>
    <row r="29" spans="1:46" s="1460" customFormat="1" ht="15" x14ac:dyDescent="0.25">
      <c r="A29" s="1455">
        <v>41205</v>
      </c>
      <c r="B29" s="1456" t="s">
        <v>1342</v>
      </c>
      <c r="C29" s="1457">
        <v>1200000</v>
      </c>
      <c r="D29" s="1458">
        <f t="shared" si="1"/>
        <v>1.2E-4</v>
      </c>
      <c r="E29" s="1457">
        <v>14000</v>
      </c>
      <c r="F29" s="1458">
        <f t="shared" si="2"/>
        <v>1.1666666666666666E-6</v>
      </c>
      <c r="G29" s="1459">
        <f t="shared" si="3"/>
        <v>-1186000</v>
      </c>
      <c r="H29" s="1458">
        <f t="shared" si="4"/>
        <v>-84.714285714285708</v>
      </c>
      <c r="I29" s="1167"/>
      <c r="J29" s="1457">
        <v>14000</v>
      </c>
      <c r="K29" s="1457"/>
      <c r="L29" s="1457"/>
      <c r="M29" s="1459">
        <f t="shared" si="5"/>
        <v>14000</v>
      </c>
      <c r="N29" s="1457">
        <v>14000</v>
      </c>
      <c r="O29" s="1458">
        <f t="shared" si="6"/>
        <v>1</v>
      </c>
      <c r="P29" s="1458"/>
      <c r="Q29" s="1458"/>
      <c r="R29" s="1453"/>
      <c r="S29" s="1169"/>
      <c r="AT29" s="1404" t="str">
        <f t="shared" si="0"/>
        <v>41205-Rendimientos financieros</v>
      </c>
    </row>
    <row r="30" spans="1:46" s="1460" customFormat="1" ht="15" x14ac:dyDescent="0.25">
      <c r="A30" s="1455">
        <v>41206</v>
      </c>
      <c r="B30" s="1456" t="s">
        <v>1346</v>
      </c>
      <c r="C30" s="1457">
        <v>1200000</v>
      </c>
      <c r="D30" s="1458">
        <f t="shared" si="1"/>
        <v>1.2E-4</v>
      </c>
      <c r="E30" s="1457">
        <v>14000</v>
      </c>
      <c r="F30" s="1458">
        <f t="shared" si="2"/>
        <v>1.1666666666666666E-6</v>
      </c>
      <c r="G30" s="1459">
        <f t="shared" si="3"/>
        <v>-1186000</v>
      </c>
      <c r="H30" s="1458">
        <f t="shared" si="4"/>
        <v>-84.714285714285708</v>
      </c>
      <c r="I30" s="1167"/>
      <c r="J30" s="1457">
        <v>14000</v>
      </c>
      <c r="K30" s="1457"/>
      <c r="L30" s="1457"/>
      <c r="M30" s="1459">
        <f t="shared" si="5"/>
        <v>14000</v>
      </c>
      <c r="N30" s="1457">
        <v>14000</v>
      </c>
      <c r="O30" s="1458">
        <f t="shared" si="6"/>
        <v>1</v>
      </c>
      <c r="P30" s="1458"/>
      <c r="Q30" s="1458"/>
      <c r="R30" s="1453"/>
      <c r="S30" s="1169"/>
      <c r="AT30" s="1404" t="str">
        <f t="shared" si="0"/>
        <v>41206-RECURSOS de crédito externo</v>
      </c>
    </row>
    <row r="31" spans="1:46" s="1460" customFormat="1" ht="15" x14ac:dyDescent="0.25">
      <c r="A31" s="1455">
        <v>41207</v>
      </c>
      <c r="B31" s="1456" t="s">
        <v>1349</v>
      </c>
      <c r="C31" s="1457">
        <v>1200000</v>
      </c>
      <c r="D31" s="1458">
        <f>IF(C31="","",C31/$C$18)</f>
        <v>1.2E-4</v>
      </c>
      <c r="E31" s="1457">
        <v>14000</v>
      </c>
      <c r="F31" s="1458">
        <f t="shared" si="2"/>
        <v>1.1666666666666666E-6</v>
      </c>
      <c r="G31" s="1459">
        <f t="shared" si="3"/>
        <v>-1186000</v>
      </c>
      <c r="H31" s="1458">
        <f t="shared" si="4"/>
        <v>-84.714285714285708</v>
      </c>
      <c r="I31" s="1167"/>
      <c r="J31" s="1457">
        <v>14000</v>
      </c>
      <c r="K31" s="1457"/>
      <c r="L31" s="1457"/>
      <c r="M31" s="1459">
        <f t="shared" si="5"/>
        <v>14000</v>
      </c>
      <c r="N31" s="1457">
        <v>14000</v>
      </c>
      <c r="O31" s="1458">
        <f t="shared" si="6"/>
        <v>1</v>
      </c>
      <c r="P31" s="1458"/>
      <c r="Q31" s="1458"/>
      <c r="R31" s="1453"/>
      <c r="S31" s="1169"/>
      <c r="AT31" s="1404" t="str">
        <f t="shared" si="0"/>
        <v>41207-RECURSOS de crédito interno</v>
      </c>
    </row>
    <row r="32" spans="1:46" s="1460" customFormat="1" ht="15" x14ac:dyDescent="0.25">
      <c r="A32" s="1455">
        <v>41208</v>
      </c>
      <c r="B32" s="1456" t="s">
        <v>1353</v>
      </c>
      <c r="C32" s="1457">
        <v>1200000</v>
      </c>
      <c r="D32" s="1458">
        <f t="shared" si="1"/>
        <v>1.2E-4</v>
      </c>
      <c r="E32" s="1457">
        <v>14000</v>
      </c>
      <c r="F32" s="1458">
        <f t="shared" si="2"/>
        <v>1.1666666666666666E-6</v>
      </c>
      <c r="G32" s="1459">
        <f t="shared" si="3"/>
        <v>-1186000</v>
      </c>
      <c r="H32" s="1458">
        <f t="shared" si="4"/>
        <v>-84.714285714285708</v>
      </c>
      <c r="I32" s="1167"/>
      <c r="J32" s="1457">
        <v>14000</v>
      </c>
      <c r="K32" s="1457"/>
      <c r="L32" s="1457"/>
      <c r="M32" s="1459">
        <f t="shared" si="5"/>
        <v>14000</v>
      </c>
      <c r="N32" s="1457">
        <v>14000</v>
      </c>
      <c r="O32" s="1458">
        <f t="shared" si="6"/>
        <v>1</v>
      </c>
      <c r="P32" s="1458"/>
      <c r="Q32" s="1458"/>
      <c r="R32" s="1453"/>
      <c r="S32" s="1169"/>
      <c r="AT32" s="1404" t="str">
        <f t="shared" si="0"/>
        <v>41208-Transferencias de CAPITAL</v>
      </c>
    </row>
    <row r="33" spans="1:46" s="1460" customFormat="1" ht="15" x14ac:dyDescent="0.25">
      <c r="A33" s="1455">
        <v>41209</v>
      </c>
      <c r="B33" s="1456" t="s">
        <v>1357</v>
      </c>
      <c r="C33" s="1457">
        <v>1200000</v>
      </c>
      <c r="D33" s="1458">
        <f t="shared" si="1"/>
        <v>1.2E-4</v>
      </c>
      <c r="E33" s="1457">
        <v>14000</v>
      </c>
      <c r="F33" s="1458">
        <f t="shared" si="2"/>
        <v>1.1666666666666666E-6</v>
      </c>
      <c r="G33" s="1459">
        <f t="shared" si="3"/>
        <v>-1186000</v>
      </c>
      <c r="H33" s="1458">
        <f t="shared" si="4"/>
        <v>-84.714285714285708</v>
      </c>
      <c r="I33" s="1167"/>
      <c r="J33" s="1457">
        <v>14000</v>
      </c>
      <c r="K33" s="1457"/>
      <c r="L33" s="1457"/>
      <c r="M33" s="1459">
        <f t="shared" si="5"/>
        <v>14000</v>
      </c>
      <c r="N33" s="1457">
        <v>14000</v>
      </c>
      <c r="O33" s="1458">
        <f t="shared" si="6"/>
        <v>1</v>
      </c>
      <c r="P33" s="1458"/>
      <c r="Q33" s="1458"/>
      <c r="R33" s="1453"/>
      <c r="S33" s="1169"/>
      <c r="AT33" s="1404" t="str">
        <f t="shared" si="0"/>
        <v>41209-Recuperación de cartera</v>
      </c>
    </row>
    <row r="34" spans="1:46" s="1460" customFormat="1" ht="15" x14ac:dyDescent="0.25">
      <c r="A34" s="1455">
        <v>41210</v>
      </c>
      <c r="B34" s="1456" t="s">
        <v>1361</v>
      </c>
      <c r="C34" s="1457">
        <v>1200000</v>
      </c>
      <c r="D34" s="1458">
        <f t="shared" si="1"/>
        <v>1.2E-4</v>
      </c>
      <c r="E34" s="1457">
        <v>14000</v>
      </c>
      <c r="F34" s="1458">
        <f t="shared" si="2"/>
        <v>1.1666666666666666E-6</v>
      </c>
      <c r="G34" s="1459">
        <f t="shared" si="3"/>
        <v>-1186000</v>
      </c>
      <c r="H34" s="1458">
        <f t="shared" si="4"/>
        <v>-84.714285714285708</v>
      </c>
      <c r="I34" s="1167"/>
      <c r="J34" s="1457">
        <v>14000</v>
      </c>
      <c r="K34" s="1457"/>
      <c r="L34" s="1457"/>
      <c r="M34" s="1459">
        <f t="shared" si="5"/>
        <v>14000</v>
      </c>
      <c r="N34" s="1457">
        <v>14000</v>
      </c>
      <c r="O34" s="1458">
        <f t="shared" si="6"/>
        <v>1</v>
      </c>
      <c r="P34" s="1458"/>
      <c r="Q34" s="1458"/>
      <c r="R34" s="1453"/>
      <c r="S34" s="1169"/>
      <c r="AT34" s="1404" t="str">
        <f t="shared" si="0"/>
        <v>41210-RECURSOS del balance</v>
      </c>
    </row>
    <row r="35" spans="1:46" s="1460" customFormat="1" ht="15" x14ac:dyDescent="0.25">
      <c r="A35" s="1455">
        <v>41211</v>
      </c>
      <c r="B35" s="1456" t="s">
        <v>1365</v>
      </c>
      <c r="C35" s="1457">
        <v>1200000</v>
      </c>
      <c r="D35" s="1458">
        <f t="shared" si="1"/>
        <v>1.2E-4</v>
      </c>
      <c r="E35" s="1457">
        <v>14000</v>
      </c>
      <c r="F35" s="1458">
        <f t="shared" si="2"/>
        <v>1.1666666666666666E-6</v>
      </c>
      <c r="G35" s="1459">
        <f t="shared" si="3"/>
        <v>-1186000</v>
      </c>
      <c r="H35" s="1458">
        <f t="shared" si="4"/>
        <v>-84.714285714285708</v>
      </c>
      <c r="I35" s="1167"/>
      <c r="J35" s="1457">
        <v>14000</v>
      </c>
      <c r="K35" s="1457"/>
      <c r="L35" s="1457"/>
      <c r="M35" s="1459">
        <f t="shared" si="5"/>
        <v>14000</v>
      </c>
      <c r="N35" s="1457">
        <v>14000</v>
      </c>
      <c r="O35" s="1458">
        <f t="shared" si="6"/>
        <v>1</v>
      </c>
      <c r="P35" s="1458"/>
      <c r="Q35" s="1458"/>
      <c r="R35" s="1453"/>
      <c r="S35" s="1169"/>
      <c r="AT35" s="1404" t="str">
        <f t="shared" si="0"/>
        <v>41211-Diferencial cambiario</v>
      </c>
    </row>
    <row r="36" spans="1:46" s="1460" customFormat="1" ht="15" x14ac:dyDescent="0.25">
      <c r="A36" s="1455">
        <v>41212</v>
      </c>
      <c r="B36" s="1456" t="s">
        <v>1368</v>
      </c>
      <c r="C36" s="1457">
        <v>1200000</v>
      </c>
      <c r="D36" s="1458">
        <f t="shared" si="1"/>
        <v>1.2E-4</v>
      </c>
      <c r="E36" s="1457">
        <v>14000</v>
      </c>
      <c r="F36" s="1458">
        <f t="shared" si="2"/>
        <v>1.1666666666666666E-6</v>
      </c>
      <c r="G36" s="1459">
        <f t="shared" si="3"/>
        <v>-1186000</v>
      </c>
      <c r="H36" s="1458">
        <f t="shared" si="4"/>
        <v>-84.714285714285708</v>
      </c>
      <c r="I36" s="1167"/>
      <c r="J36" s="1457">
        <v>14000</v>
      </c>
      <c r="K36" s="1457"/>
      <c r="L36" s="1457"/>
      <c r="M36" s="1459">
        <f t="shared" si="5"/>
        <v>14000</v>
      </c>
      <c r="N36" s="1457">
        <v>14000</v>
      </c>
      <c r="O36" s="1458">
        <f t="shared" si="6"/>
        <v>1</v>
      </c>
      <c r="P36" s="1458"/>
      <c r="Q36" s="1458"/>
      <c r="R36" s="1453"/>
      <c r="S36" s="1169"/>
      <c r="AT36" s="1404" t="str">
        <f t="shared" si="0"/>
        <v>41212-Retiros FONPET</v>
      </c>
    </row>
    <row r="37" spans="1:46" s="1460" customFormat="1" ht="14.25" customHeight="1" x14ac:dyDescent="0.25">
      <c r="A37" s="1455">
        <v>41213</v>
      </c>
      <c r="B37" s="1456" t="s">
        <v>1370</v>
      </c>
      <c r="C37" s="1457">
        <v>1200000</v>
      </c>
      <c r="D37" s="1458">
        <f t="shared" si="1"/>
        <v>1.2E-4</v>
      </c>
      <c r="E37" s="1457">
        <v>14000</v>
      </c>
      <c r="F37" s="1458">
        <f t="shared" si="2"/>
        <v>1.1666666666666666E-6</v>
      </c>
      <c r="G37" s="1459">
        <f t="shared" si="3"/>
        <v>-1186000</v>
      </c>
      <c r="H37" s="1458">
        <f t="shared" si="4"/>
        <v>-84.714285714285708</v>
      </c>
      <c r="I37" s="1167"/>
      <c r="J37" s="1457">
        <v>14000</v>
      </c>
      <c r="K37" s="1457"/>
      <c r="L37" s="1457"/>
      <c r="M37" s="1459">
        <f t="shared" si="5"/>
        <v>14000</v>
      </c>
      <c r="N37" s="1457">
        <v>14000</v>
      </c>
      <c r="O37" s="1458">
        <f t="shared" si="6"/>
        <v>1</v>
      </c>
      <c r="P37" s="1458"/>
      <c r="Q37" s="1458"/>
      <c r="R37" s="1453"/>
      <c r="S37" s="1169"/>
      <c r="AT37" s="1404" t="str">
        <f t="shared" si="0"/>
        <v>41213-Reintegros y otros RECURSOS no apropiados</v>
      </c>
    </row>
    <row r="38" spans="1:46" s="1454" customFormat="1" ht="15" x14ac:dyDescent="0.25">
      <c r="A38" s="1448">
        <v>4122</v>
      </c>
      <c r="B38" s="1449" t="s">
        <v>1372</v>
      </c>
      <c r="C38" s="1450">
        <v>1200000</v>
      </c>
      <c r="D38" s="1451">
        <f t="shared" si="1"/>
        <v>1.2E-4</v>
      </c>
      <c r="E38" s="1450">
        <v>14000</v>
      </c>
      <c r="F38" s="1451">
        <f t="shared" si="2"/>
        <v>1.1666666666666666E-6</v>
      </c>
      <c r="G38" s="1452">
        <f t="shared" si="3"/>
        <v>-1186000</v>
      </c>
      <c r="H38" s="1451">
        <f t="shared" si="4"/>
        <v>-84.714285714285708</v>
      </c>
      <c r="I38" s="1166"/>
      <c r="J38" s="1450">
        <v>14000</v>
      </c>
      <c r="K38" s="1450"/>
      <c r="L38" s="1450"/>
      <c r="M38" s="1452">
        <f t="shared" si="5"/>
        <v>14000</v>
      </c>
      <c r="N38" s="1450">
        <v>14000</v>
      </c>
      <c r="O38" s="1451">
        <f t="shared" si="6"/>
        <v>1</v>
      </c>
      <c r="P38" s="1451"/>
      <c r="Q38" s="1451"/>
      <c r="R38" s="1453"/>
      <c r="S38" s="1168"/>
      <c r="AT38" s="1403" t="str">
        <f t="shared" si="0"/>
        <v>4122-Transferencias</v>
      </c>
    </row>
    <row r="39" spans="1:46" s="1460" customFormat="1" ht="15" x14ac:dyDescent="0.25">
      <c r="A39" s="1455">
        <v>412201</v>
      </c>
      <c r="B39" s="1456" t="s">
        <v>1374</v>
      </c>
      <c r="C39" s="1457">
        <v>1200000</v>
      </c>
      <c r="D39" s="1458">
        <f t="shared" si="1"/>
        <v>1.2E-4</v>
      </c>
      <c r="E39" s="1457">
        <v>14001</v>
      </c>
      <c r="F39" s="1458">
        <f t="shared" si="2"/>
        <v>1.1667500000000001E-6</v>
      </c>
      <c r="G39" s="1459">
        <f t="shared" si="3"/>
        <v>-1185999</v>
      </c>
      <c r="H39" s="1458">
        <f t="shared" si="4"/>
        <v>-84.708163702592671</v>
      </c>
      <c r="I39" s="1167"/>
      <c r="J39" s="1457">
        <v>14001</v>
      </c>
      <c r="K39" s="1457"/>
      <c r="L39" s="1457"/>
      <c r="M39" s="1459">
        <f t="shared" si="5"/>
        <v>14001</v>
      </c>
      <c r="N39" s="1457">
        <v>14001</v>
      </c>
      <c r="O39" s="1458">
        <f t="shared" si="6"/>
        <v>1</v>
      </c>
      <c r="P39" s="1458"/>
      <c r="Q39" s="1458"/>
      <c r="R39" s="1453"/>
      <c r="S39" s="1169"/>
      <c r="AT39" s="1404" t="str">
        <f t="shared" si="0"/>
        <v>412201-Transferencias corrientes nacionales</v>
      </c>
    </row>
    <row r="40" spans="1:46" s="1460" customFormat="1" ht="15" x14ac:dyDescent="0.25">
      <c r="A40" s="1455">
        <v>412202</v>
      </c>
      <c r="B40" s="1456" t="s">
        <v>1376</v>
      </c>
      <c r="C40" s="1457">
        <v>1200000</v>
      </c>
      <c r="D40" s="1458">
        <f t="shared" si="1"/>
        <v>1.2E-4</v>
      </c>
      <c r="E40" s="1457">
        <v>14002</v>
      </c>
      <c r="F40" s="1458">
        <f t="shared" si="2"/>
        <v>1.1668333333333334E-6</v>
      </c>
      <c r="G40" s="1459">
        <f t="shared" si="3"/>
        <v>-1185998</v>
      </c>
      <c r="H40" s="1458">
        <f t="shared" si="4"/>
        <v>-84.70204256534781</v>
      </c>
      <c r="I40" s="1167"/>
      <c r="J40" s="1457">
        <v>14002</v>
      </c>
      <c r="K40" s="1457"/>
      <c r="L40" s="1457"/>
      <c r="M40" s="1459">
        <f t="shared" si="5"/>
        <v>14002</v>
      </c>
      <c r="N40" s="1457">
        <v>14002</v>
      </c>
      <c r="O40" s="1458">
        <f t="shared" si="6"/>
        <v>1</v>
      </c>
      <c r="P40" s="1458"/>
      <c r="Q40" s="1458"/>
      <c r="R40" s="1453"/>
      <c r="S40" s="1169"/>
      <c r="AT40" s="1404" t="str">
        <f t="shared" si="0"/>
        <v>412202-Departamentales</v>
      </c>
    </row>
    <row r="41" spans="1:46" s="1460" customFormat="1" ht="15" x14ac:dyDescent="0.25">
      <c r="A41" s="1455">
        <v>412203</v>
      </c>
      <c r="B41" s="1456" t="s">
        <v>1378</v>
      </c>
      <c r="C41" s="1457">
        <v>1200000</v>
      </c>
      <c r="D41" s="1458">
        <f t="shared" si="1"/>
        <v>1.2E-4</v>
      </c>
      <c r="E41" s="1457">
        <v>14003</v>
      </c>
      <c r="F41" s="1458">
        <f t="shared" si="2"/>
        <v>1.1669166666666667E-6</v>
      </c>
      <c r="G41" s="1459">
        <f t="shared" si="3"/>
        <v>-1185997</v>
      </c>
      <c r="H41" s="1458">
        <f t="shared" si="4"/>
        <v>-84.695922302363783</v>
      </c>
      <c r="I41" s="1167"/>
      <c r="J41" s="1457">
        <v>14003</v>
      </c>
      <c r="K41" s="1457"/>
      <c r="L41" s="1457"/>
      <c r="M41" s="1459">
        <f t="shared" si="5"/>
        <v>14003</v>
      </c>
      <c r="N41" s="1457">
        <v>14003</v>
      </c>
      <c r="O41" s="1458">
        <f t="shared" si="6"/>
        <v>1</v>
      </c>
      <c r="P41" s="1458"/>
      <c r="Q41" s="1458"/>
      <c r="R41" s="1453"/>
      <c r="S41" s="1169"/>
      <c r="AT41" s="1404" t="str">
        <f t="shared" si="0"/>
        <v>412203-Distritales</v>
      </c>
    </row>
    <row r="42" spans="1:46" s="1460" customFormat="1" ht="15" x14ac:dyDescent="0.25">
      <c r="A42" s="1455">
        <v>412204</v>
      </c>
      <c r="B42" s="1456" t="s">
        <v>1380</v>
      </c>
      <c r="C42" s="1457">
        <v>1200000</v>
      </c>
      <c r="D42" s="1458">
        <f t="shared" si="1"/>
        <v>1.2E-4</v>
      </c>
      <c r="E42" s="1457">
        <v>14004</v>
      </c>
      <c r="F42" s="1458">
        <f t="shared" si="2"/>
        <v>1.167E-6</v>
      </c>
      <c r="G42" s="1459">
        <f t="shared" si="3"/>
        <v>-1185996</v>
      </c>
      <c r="H42" s="1458">
        <f t="shared" si="4"/>
        <v>-84.689802913453306</v>
      </c>
      <c r="I42" s="1167"/>
      <c r="J42" s="1457">
        <v>14004</v>
      </c>
      <c r="K42" s="1457"/>
      <c r="L42" s="1457"/>
      <c r="M42" s="1459">
        <f t="shared" si="5"/>
        <v>14004</v>
      </c>
      <c r="N42" s="1457">
        <v>14004</v>
      </c>
      <c r="O42" s="1458">
        <f t="shared" si="6"/>
        <v>1</v>
      </c>
      <c r="P42" s="1458"/>
      <c r="Q42" s="1458"/>
      <c r="R42" s="1453"/>
      <c r="S42" s="1169"/>
      <c r="AT42" s="1404" t="str">
        <f t="shared" si="0"/>
        <v>412204-Otras Transferencias</v>
      </c>
    </row>
    <row r="43" spans="1:46" s="1454" customFormat="1" ht="15" x14ac:dyDescent="0.25">
      <c r="A43" s="1448">
        <v>415</v>
      </c>
      <c r="B43" s="1449" t="s">
        <v>1382</v>
      </c>
      <c r="C43" s="1450">
        <v>1200000</v>
      </c>
      <c r="D43" s="1451">
        <f t="shared" si="1"/>
        <v>1.2E-4</v>
      </c>
      <c r="E43" s="1450">
        <v>14005</v>
      </c>
      <c r="F43" s="1451">
        <f t="shared" si="2"/>
        <v>1.1670833333333333E-6</v>
      </c>
      <c r="G43" s="1452">
        <f t="shared" si="3"/>
        <v>-1185995</v>
      </c>
      <c r="H43" s="1451">
        <f t="shared" si="4"/>
        <v>-84.683684398429136</v>
      </c>
      <c r="I43" s="1166"/>
      <c r="J43" s="1450">
        <v>14005</v>
      </c>
      <c r="K43" s="1450"/>
      <c r="L43" s="1450"/>
      <c r="M43" s="1452">
        <f t="shared" si="5"/>
        <v>14005</v>
      </c>
      <c r="N43" s="1450">
        <v>14005</v>
      </c>
      <c r="O43" s="1451">
        <f t="shared" si="6"/>
        <v>1</v>
      </c>
      <c r="P43" s="1451"/>
      <c r="Q43" s="1451"/>
      <c r="R43" s="1453"/>
      <c r="S43" s="1168"/>
      <c r="AT43" s="1403" t="str">
        <f t="shared" si="0"/>
        <v>415-Transferencias Administración Central</v>
      </c>
    </row>
    <row r="44" spans="1:46" s="1454" customFormat="1" ht="15" x14ac:dyDescent="0.25">
      <c r="A44" s="1461"/>
      <c r="B44" s="1462"/>
      <c r="C44" s="1463"/>
      <c r="D44" s="1464" t="str">
        <f>IF(C44="","",C44/$C$18)</f>
        <v/>
      </c>
      <c r="E44" s="1463"/>
      <c r="F44" s="1464" t="str">
        <f t="shared" si="2"/>
        <v/>
      </c>
      <c r="G44" s="1465" t="str">
        <f t="shared" si="3"/>
        <v/>
      </c>
      <c r="H44" s="1464" t="e">
        <f t="shared" si="4"/>
        <v>#VALUE!</v>
      </c>
      <c r="I44" s="1414"/>
      <c r="J44" s="1463"/>
      <c r="K44" s="1463"/>
      <c r="L44" s="1463"/>
      <c r="M44" s="1465" t="str">
        <f t="shared" si="5"/>
        <v/>
      </c>
      <c r="N44" s="1463"/>
      <c r="O44" s="1451" t="str">
        <f t="shared" ref="O44:O67" si="7">IF(OR(E44="",N44=""),"",N44/E44)</f>
        <v/>
      </c>
      <c r="P44" s="1451"/>
      <c r="Q44" s="1451"/>
      <c r="R44" s="1466"/>
      <c r="S44" s="1415"/>
      <c r="AT44" s="1403"/>
    </row>
    <row r="45" spans="1:46" s="1454" customFormat="1" ht="15" x14ac:dyDescent="0.25">
      <c r="A45" s="1461"/>
      <c r="B45" s="1462"/>
      <c r="C45" s="1463"/>
      <c r="D45" s="1464" t="str">
        <f t="shared" si="1"/>
        <v/>
      </c>
      <c r="E45" s="1463"/>
      <c r="F45" s="1464" t="str">
        <f t="shared" si="2"/>
        <v/>
      </c>
      <c r="G45" s="1465" t="str">
        <f t="shared" si="3"/>
        <v/>
      </c>
      <c r="H45" s="1464" t="e">
        <f t="shared" si="4"/>
        <v>#VALUE!</v>
      </c>
      <c r="I45" s="1414"/>
      <c r="J45" s="1463"/>
      <c r="K45" s="1463"/>
      <c r="L45" s="1463"/>
      <c r="M45" s="1465" t="str">
        <f t="shared" si="5"/>
        <v/>
      </c>
      <c r="N45" s="1463"/>
      <c r="O45" s="1451" t="str">
        <f t="shared" si="7"/>
        <v/>
      </c>
      <c r="P45" s="1451"/>
      <c r="Q45" s="1451"/>
      <c r="R45" s="1466"/>
      <c r="S45" s="1415"/>
      <c r="AT45" s="1403"/>
    </row>
    <row r="46" spans="1:46" s="1454" customFormat="1" ht="15" x14ac:dyDescent="0.25">
      <c r="A46" s="1461"/>
      <c r="B46" s="1462"/>
      <c r="C46" s="1463"/>
      <c r="D46" s="1464" t="str">
        <f t="shared" si="1"/>
        <v/>
      </c>
      <c r="E46" s="1463"/>
      <c r="F46" s="1464" t="str">
        <f t="shared" si="2"/>
        <v/>
      </c>
      <c r="G46" s="1465" t="str">
        <f t="shared" si="3"/>
        <v/>
      </c>
      <c r="H46" s="1464" t="e">
        <f t="shared" si="4"/>
        <v>#VALUE!</v>
      </c>
      <c r="I46" s="1414"/>
      <c r="J46" s="1463"/>
      <c r="K46" s="1463"/>
      <c r="L46" s="1463"/>
      <c r="M46" s="1465" t="str">
        <f t="shared" si="5"/>
        <v/>
      </c>
      <c r="N46" s="1463"/>
      <c r="O46" s="1451" t="str">
        <f t="shared" si="7"/>
        <v/>
      </c>
      <c r="P46" s="1451"/>
      <c r="Q46" s="1451"/>
      <c r="R46" s="1466"/>
      <c r="S46" s="1415"/>
      <c r="AT46" s="1403"/>
    </row>
    <row r="47" spans="1:46" s="1454" customFormat="1" ht="15" x14ac:dyDescent="0.25">
      <c r="A47" s="1461"/>
      <c r="B47" s="1462"/>
      <c r="C47" s="1463"/>
      <c r="D47" s="1464" t="str">
        <f t="shared" si="1"/>
        <v/>
      </c>
      <c r="E47" s="1463"/>
      <c r="F47" s="1464" t="str">
        <f t="shared" si="2"/>
        <v/>
      </c>
      <c r="G47" s="1465" t="str">
        <f t="shared" si="3"/>
        <v/>
      </c>
      <c r="H47" s="1464" t="e">
        <f t="shared" si="4"/>
        <v>#VALUE!</v>
      </c>
      <c r="I47" s="1414"/>
      <c r="J47" s="1463"/>
      <c r="K47" s="1463"/>
      <c r="L47" s="1463"/>
      <c r="M47" s="1465" t="str">
        <f t="shared" si="5"/>
        <v/>
      </c>
      <c r="N47" s="1463"/>
      <c r="O47" s="1451" t="str">
        <f t="shared" si="7"/>
        <v/>
      </c>
      <c r="P47" s="1451"/>
      <c r="Q47" s="1451"/>
      <c r="R47" s="1466"/>
      <c r="S47" s="1415"/>
      <c r="AT47" s="1403"/>
    </row>
    <row r="48" spans="1:46" s="1454" customFormat="1" ht="15" x14ac:dyDescent="0.25">
      <c r="A48" s="1461"/>
      <c r="B48" s="1462"/>
      <c r="C48" s="1463"/>
      <c r="D48" s="1464" t="str">
        <f t="shared" si="1"/>
        <v/>
      </c>
      <c r="E48" s="1463"/>
      <c r="F48" s="1464" t="str">
        <f t="shared" si="2"/>
        <v/>
      </c>
      <c r="G48" s="1465" t="str">
        <f t="shared" si="3"/>
        <v/>
      </c>
      <c r="H48" s="1464" t="e">
        <f t="shared" si="4"/>
        <v>#VALUE!</v>
      </c>
      <c r="I48" s="1414"/>
      <c r="J48" s="1463"/>
      <c r="K48" s="1463"/>
      <c r="L48" s="1463"/>
      <c r="M48" s="1465" t="str">
        <f t="shared" si="5"/>
        <v/>
      </c>
      <c r="N48" s="1463"/>
      <c r="O48" s="1451" t="str">
        <f t="shared" si="7"/>
        <v/>
      </c>
      <c r="P48" s="1451"/>
      <c r="Q48" s="1451"/>
      <c r="R48" s="1466"/>
      <c r="S48" s="1415"/>
      <c r="AT48" s="1403"/>
    </row>
    <row r="49" spans="1:46" s="1454" customFormat="1" ht="15" x14ac:dyDescent="0.25">
      <c r="A49" s="1461"/>
      <c r="B49" s="1462"/>
      <c r="C49" s="1463"/>
      <c r="D49" s="1464" t="str">
        <f t="shared" si="1"/>
        <v/>
      </c>
      <c r="E49" s="1463"/>
      <c r="F49" s="1464" t="str">
        <f t="shared" si="2"/>
        <v/>
      </c>
      <c r="G49" s="1465" t="str">
        <f t="shared" si="3"/>
        <v/>
      </c>
      <c r="H49" s="1464" t="e">
        <f t="shared" si="4"/>
        <v>#VALUE!</v>
      </c>
      <c r="I49" s="1414"/>
      <c r="J49" s="1463"/>
      <c r="K49" s="1463"/>
      <c r="L49" s="1463"/>
      <c r="M49" s="1465" t="str">
        <f t="shared" si="5"/>
        <v/>
      </c>
      <c r="N49" s="1463"/>
      <c r="O49" s="1451" t="str">
        <f t="shared" si="7"/>
        <v/>
      </c>
      <c r="P49" s="1451"/>
      <c r="Q49" s="1451"/>
      <c r="R49" s="1466"/>
      <c r="S49" s="1415"/>
      <c r="AT49" s="1403"/>
    </row>
    <row r="50" spans="1:46" s="1454" customFormat="1" ht="15" x14ac:dyDescent="0.25">
      <c r="A50" s="1461"/>
      <c r="B50" s="1462"/>
      <c r="C50" s="1463"/>
      <c r="D50" s="1464" t="str">
        <f t="shared" si="1"/>
        <v/>
      </c>
      <c r="E50" s="1463"/>
      <c r="F50" s="1464" t="str">
        <f t="shared" si="2"/>
        <v/>
      </c>
      <c r="G50" s="1465" t="str">
        <f t="shared" si="3"/>
        <v/>
      </c>
      <c r="H50" s="1464" t="e">
        <f t="shared" si="4"/>
        <v>#VALUE!</v>
      </c>
      <c r="I50" s="1414"/>
      <c r="J50" s="1463"/>
      <c r="K50" s="1463"/>
      <c r="L50" s="1463"/>
      <c r="M50" s="1465" t="str">
        <f t="shared" si="5"/>
        <v/>
      </c>
      <c r="N50" s="1463"/>
      <c r="O50" s="1451" t="str">
        <f t="shared" si="7"/>
        <v/>
      </c>
      <c r="P50" s="1451"/>
      <c r="Q50" s="1451"/>
      <c r="R50" s="1466"/>
      <c r="S50" s="1415"/>
      <c r="AT50" s="1403"/>
    </row>
    <row r="51" spans="1:46" s="1454" customFormat="1" ht="15" x14ac:dyDescent="0.25">
      <c r="A51" s="1461"/>
      <c r="B51" s="1462"/>
      <c r="C51" s="1463"/>
      <c r="D51" s="1464" t="str">
        <f t="shared" si="1"/>
        <v/>
      </c>
      <c r="E51" s="1463"/>
      <c r="F51" s="1464" t="str">
        <f t="shared" si="2"/>
        <v/>
      </c>
      <c r="G51" s="1465" t="str">
        <f t="shared" si="3"/>
        <v/>
      </c>
      <c r="H51" s="1464" t="e">
        <f t="shared" si="4"/>
        <v>#VALUE!</v>
      </c>
      <c r="I51" s="1414"/>
      <c r="J51" s="1463"/>
      <c r="K51" s="1463"/>
      <c r="L51" s="1463"/>
      <c r="M51" s="1465" t="str">
        <f t="shared" si="5"/>
        <v/>
      </c>
      <c r="N51" s="1463"/>
      <c r="O51" s="1451" t="str">
        <f t="shared" si="7"/>
        <v/>
      </c>
      <c r="P51" s="1451"/>
      <c r="Q51" s="1451"/>
      <c r="R51" s="1466"/>
      <c r="S51" s="1415"/>
      <c r="AT51" s="1403"/>
    </row>
    <row r="52" spans="1:46" s="1454" customFormat="1" ht="15" x14ac:dyDescent="0.25">
      <c r="A52" s="1461"/>
      <c r="B52" s="1462"/>
      <c r="C52" s="1463"/>
      <c r="D52" s="1464" t="str">
        <f t="shared" si="1"/>
        <v/>
      </c>
      <c r="E52" s="1463"/>
      <c r="F52" s="1464" t="str">
        <f t="shared" si="2"/>
        <v/>
      </c>
      <c r="G52" s="1465" t="str">
        <f t="shared" si="3"/>
        <v/>
      </c>
      <c r="H52" s="1464" t="e">
        <f t="shared" si="4"/>
        <v>#VALUE!</v>
      </c>
      <c r="I52" s="1414"/>
      <c r="J52" s="1463"/>
      <c r="K52" s="1463"/>
      <c r="L52" s="1463"/>
      <c r="M52" s="1465" t="str">
        <f t="shared" si="5"/>
        <v/>
      </c>
      <c r="N52" s="1463"/>
      <c r="O52" s="1451" t="str">
        <f t="shared" si="7"/>
        <v/>
      </c>
      <c r="P52" s="1451"/>
      <c r="Q52" s="1451"/>
      <c r="R52" s="1466"/>
      <c r="S52" s="1415"/>
      <c r="AT52" s="1403"/>
    </row>
    <row r="53" spans="1:46" s="1454" customFormat="1" ht="15" x14ac:dyDescent="0.25">
      <c r="A53" s="1461"/>
      <c r="B53" s="1462"/>
      <c r="C53" s="1463"/>
      <c r="D53" s="1464" t="str">
        <f t="shared" si="1"/>
        <v/>
      </c>
      <c r="E53" s="1463"/>
      <c r="F53" s="1464" t="str">
        <f t="shared" si="2"/>
        <v/>
      </c>
      <c r="G53" s="1465" t="str">
        <f t="shared" si="3"/>
        <v/>
      </c>
      <c r="H53" s="1464" t="e">
        <f t="shared" si="4"/>
        <v>#VALUE!</v>
      </c>
      <c r="I53" s="1414"/>
      <c r="J53" s="1463"/>
      <c r="K53" s="1463"/>
      <c r="L53" s="1463"/>
      <c r="M53" s="1465" t="str">
        <f t="shared" si="5"/>
        <v/>
      </c>
      <c r="N53" s="1463"/>
      <c r="O53" s="1451" t="str">
        <f t="shared" ref="O53:O62" si="8">IF(OR(E53="",N53=""),"",N53/E53)</f>
        <v/>
      </c>
      <c r="P53" s="1451"/>
      <c r="Q53" s="1451"/>
      <c r="R53" s="1466"/>
      <c r="S53" s="1415"/>
      <c r="AT53" s="1403"/>
    </row>
    <row r="54" spans="1:46" s="1454" customFormat="1" ht="15" x14ac:dyDescent="0.25">
      <c r="A54" s="1461"/>
      <c r="B54" s="1462"/>
      <c r="C54" s="1463"/>
      <c r="D54" s="1464" t="str">
        <f t="shared" si="1"/>
        <v/>
      </c>
      <c r="E54" s="1463"/>
      <c r="F54" s="1464" t="str">
        <f t="shared" si="2"/>
        <v/>
      </c>
      <c r="G54" s="1465" t="str">
        <f t="shared" si="3"/>
        <v/>
      </c>
      <c r="H54" s="1464" t="e">
        <f t="shared" si="4"/>
        <v>#VALUE!</v>
      </c>
      <c r="I54" s="1414"/>
      <c r="J54" s="1463"/>
      <c r="K54" s="1463"/>
      <c r="L54" s="1463"/>
      <c r="M54" s="1465" t="str">
        <f t="shared" si="5"/>
        <v/>
      </c>
      <c r="N54" s="1463"/>
      <c r="O54" s="1451" t="str">
        <f t="shared" si="8"/>
        <v/>
      </c>
      <c r="P54" s="1451"/>
      <c r="Q54" s="1451"/>
      <c r="R54" s="1466"/>
      <c r="S54" s="1415"/>
      <c r="AT54" s="1403"/>
    </row>
    <row r="55" spans="1:46" s="1454" customFormat="1" ht="15" x14ac:dyDescent="0.25">
      <c r="A55" s="1461"/>
      <c r="B55" s="1462"/>
      <c r="C55" s="1463"/>
      <c r="D55" s="1464" t="str">
        <f t="shared" si="1"/>
        <v/>
      </c>
      <c r="E55" s="1463"/>
      <c r="F55" s="1464" t="str">
        <f t="shared" si="2"/>
        <v/>
      </c>
      <c r="G55" s="1465" t="str">
        <f t="shared" si="3"/>
        <v/>
      </c>
      <c r="H55" s="1464" t="e">
        <f t="shared" si="4"/>
        <v>#VALUE!</v>
      </c>
      <c r="I55" s="1414"/>
      <c r="J55" s="1463"/>
      <c r="K55" s="1463"/>
      <c r="L55" s="1463"/>
      <c r="M55" s="1465" t="str">
        <f t="shared" si="5"/>
        <v/>
      </c>
      <c r="N55" s="1463"/>
      <c r="O55" s="1451" t="str">
        <f t="shared" si="8"/>
        <v/>
      </c>
      <c r="P55" s="1451"/>
      <c r="Q55" s="1451"/>
      <c r="R55" s="1466"/>
      <c r="S55" s="1415"/>
      <c r="AT55" s="1403"/>
    </row>
    <row r="56" spans="1:46" s="1454" customFormat="1" ht="15" x14ac:dyDescent="0.25">
      <c r="A56" s="1461"/>
      <c r="B56" s="1462"/>
      <c r="C56" s="1463"/>
      <c r="D56" s="1464" t="str">
        <f t="shared" si="1"/>
        <v/>
      </c>
      <c r="E56" s="1463"/>
      <c r="F56" s="1464" t="str">
        <f t="shared" si="2"/>
        <v/>
      </c>
      <c r="G56" s="1465" t="str">
        <f t="shared" si="3"/>
        <v/>
      </c>
      <c r="H56" s="1464" t="e">
        <f t="shared" si="4"/>
        <v>#VALUE!</v>
      </c>
      <c r="I56" s="1414"/>
      <c r="J56" s="1463"/>
      <c r="K56" s="1463"/>
      <c r="L56" s="1463"/>
      <c r="M56" s="1465" t="str">
        <f t="shared" si="5"/>
        <v/>
      </c>
      <c r="N56" s="1463"/>
      <c r="O56" s="1451" t="str">
        <f t="shared" si="8"/>
        <v/>
      </c>
      <c r="P56" s="1451"/>
      <c r="Q56" s="1451"/>
      <c r="R56" s="1466"/>
      <c r="S56" s="1415"/>
      <c r="AT56" s="1403"/>
    </row>
    <row r="57" spans="1:46" s="1454" customFormat="1" ht="15" x14ac:dyDescent="0.25">
      <c r="A57" s="1461"/>
      <c r="B57" s="1462"/>
      <c r="C57" s="1463"/>
      <c r="D57" s="1464" t="str">
        <f t="shared" si="1"/>
        <v/>
      </c>
      <c r="E57" s="1463"/>
      <c r="F57" s="1464" t="str">
        <f t="shared" si="2"/>
        <v/>
      </c>
      <c r="G57" s="1465" t="str">
        <f t="shared" si="3"/>
        <v/>
      </c>
      <c r="H57" s="1464" t="e">
        <f t="shared" si="4"/>
        <v>#VALUE!</v>
      </c>
      <c r="I57" s="1414"/>
      <c r="J57" s="1463"/>
      <c r="K57" s="1463"/>
      <c r="L57" s="1463"/>
      <c r="M57" s="1465" t="str">
        <f t="shared" si="5"/>
        <v/>
      </c>
      <c r="N57" s="1463"/>
      <c r="O57" s="1451" t="str">
        <f t="shared" si="8"/>
        <v/>
      </c>
      <c r="P57" s="1451"/>
      <c r="Q57" s="1451"/>
      <c r="R57" s="1466"/>
      <c r="S57" s="1415"/>
      <c r="AT57" s="1403"/>
    </row>
    <row r="58" spans="1:46" s="1454" customFormat="1" ht="15" x14ac:dyDescent="0.25">
      <c r="A58" s="1461"/>
      <c r="B58" s="1462"/>
      <c r="C58" s="1463"/>
      <c r="D58" s="1464" t="str">
        <f t="shared" si="1"/>
        <v/>
      </c>
      <c r="E58" s="1463"/>
      <c r="F58" s="1464" t="str">
        <f t="shared" si="2"/>
        <v/>
      </c>
      <c r="G58" s="1465" t="str">
        <f t="shared" si="3"/>
        <v/>
      </c>
      <c r="H58" s="1464" t="e">
        <f t="shared" si="4"/>
        <v>#VALUE!</v>
      </c>
      <c r="I58" s="1414"/>
      <c r="J58" s="1463"/>
      <c r="K58" s="1463"/>
      <c r="L58" s="1463"/>
      <c r="M58" s="1465" t="str">
        <f t="shared" si="5"/>
        <v/>
      </c>
      <c r="N58" s="1463"/>
      <c r="O58" s="1451" t="str">
        <f t="shared" si="8"/>
        <v/>
      </c>
      <c r="P58" s="1451"/>
      <c r="Q58" s="1451"/>
      <c r="R58" s="1466"/>
      <c r="S58" s="1415"/>
      <c r="AT58" s="1403"/>
    </row>
    <row r="59" spans="1:46" s="1454" customFormat="1" ht="15" x14ac:dyDescent="0.25">
      <c r="A59" s="1461"/>
      <c r="B59" s="1462"/>
      <c r="C59" s="1463"/>
      <c r="D59" s="1464" t="str">
        <f t="shared" si="1"/>
        <v/>
      </c>
      <c r="E59" s="1463"/>
      <c r="F59" s="1464" t="str">
        <f t="shared" si="2"/>
        <v/>
      </c>
      <c r="G59" s="1465" t="str">
        <f t="shared" si="3"/>
        <v/>
      </c>
      <c r="H59" s="1464" t="e">
        <f t="shared" si="4"/>
        <v>#VALUE!</v>
      </c>
      <c r="I59" s="1414"/>
      <c r="J59" s="1463"/>
      <c r="K59" s="1463"/>
      <c r="L59" s="1463"/>
      <c r="M59" s="1465" t="str">
        <f t="shared" si="5"/>
        <v/>
      </c>
      <c r="N59" s="1463"/>
      <c r="O59" s="1451" t="str">
        <f t="shared" si="8"/>
        <v/>
      </c>
      <c r="P59" s="1451"/>
      <c r="Q59" s="1451"/>
      <c r="R59" s="1466"/>
      <c r="S59" s="1415"/>
      <c r="AT59" s="1403"/>
    </row>
    <row r="60" spans="1:46" s="1454" customFormat="1" ht="15" x14ac:dyDescent="0.25">
      <c r="A60" s="1461"/>
      <c r="B60" s="1462"/>
      <c r="C60" s="1463"/>
      <c r="D60" s="1464" t="str">
        <f t="shared" si="1"/>
        <v/>
      </c>
      <c r="E60" s="1463"/>
      <c r="F60" s="1464" t="str">
        <f t="shared" si="2"/>
        <v/>
      </c>
      <c r="G60" s="1465" t="str">
        <f t="shared" si="3"/>
        <v/>
      </c>
      <c r="H60" s="1464" t="e">
        <f t="shared" si="4"/>
        <v>#VALUE!</v>
      </c>
      <c r="I60" s="1414"/>
      <c r="J60" s="1463"/>
      <c r="K60" s="1463"/>
      <c r="L60" s="1463"/>
      <c r="M60" s="1465" t="str">
        <f t="shared" si="5"/>
        <v/>
      </c>
      <c r="N60" s="1463"/>
      <c r="O60" s="1451" t="str">
        <f t="shared" si="8"/>
        <v/>
      </c>
      <c r="P60" s="1451"/>
      <c r="Q60" s="1451"/>
      <c r="R60" s="1466"/>
      <c r="S60" s="1415"/>
      <c r="AT60" s="1403"/>
    </row>
    <row r="61" spans="1:46" s="1454" customFormat="1" ht="15" x14ac:dyDescent="0.25">
      <c r="A61" s="1461"/>
      <c r="B61" s="1462"/>
      <c r="C61" s="1463"/>
      <c r="D61" s="1464" t="str">
        <f t="shared" si="1"/>
        <v/>
      </c>
      <c r="E61" s="1463"/>
      <c r="F61" s="1464" t="str">
        <f t="shared" si="2"/>
        <v/>
      </c>
      <c r="G61" s="1465" t="str">
        <f t="shared" si="3"/>
        <v/>
      </c>
      <c r="H61" s="1464" t="e">
        <f t="shared" si="4"/>
        <v>#VALUE!</v>
      </c>
      <c r="I61" s="1414"/>
      <c r="J61" s="1463"/>
      <c r="K61" s="1463"/>
      <c r="L61" s="1463"/>
      <c r="M61" s="1465" t="str">
        <f t="shared" si="5"/>
        <v/>
      </c>
      <c r="N61" s="1463"/>
      <c r="O61" s="1451" t="str">
        <f t="shared" si="8"/>
        <v/>
      </c>
      <c r="P61" s="1451"/>
      <c r="Q61" s="1451"/>
      <c r="R61" s="1466"/>
      <c r="S61" s="1415"/>
      <c r="AT61" s="1403"/>
    </row>
    <row r="62" spans="1:46" s="1454" customFormat="1" ht="15" x14ac:dyDescent="0.25">
      <c r="A62" s="1461"/>
      <c r="B62" s="1462"/>
      <c r="C62" s="1463"/>
      <c r="D62" s="1464" t="str">
        <f t="shared" si="1"/>
        <v/>
      </c>
      <c r="E62" s="1463"/>
      <c r="F62" s="1464" t="str">
        <f t="shared" si="2"/>
        <v/>
      </c>
      <c r="G62" s="1465" t="str">
        <f t="shared" si="3"/>
        <v/>
      </c>
      <c r="H62" s="1464" t="e">
        <f t="shared" si="4"/>
        <v>#VALUE!</v>
      </c>
      <c r="I62" s="1414"/>
      <c r="J62" s="1463"/>
      <c r="K62" s="1463"/>
      <c r="L62" s="1463"/>
      <c r="M62" s="1465" t="str">
        <f t="shared" si="5"/>
        <v/>
      </c>
      <c r="N62" s="1463"/>
      <c r="O62" s="1451" t="str">
        <f t="shared" si="8"/>
        <v/>
      </c>
      <c r="P62" s="1451"/>
      <c r="Q62" s="1451"/>
      <c r="R62" s="1466"/>
      <c r="S62" s="1415"/>
      <c r="AT62" s="1403"/>
    </row>
    <row r="63" spans="1:46" s="1454" customFormat="1" ht="15" x14ac:dyDescent="0.25">
      <c r="A63" s="1461"/>
      <c r="B63" s="1462"/>
      <c r="C63" s="1463"/>
      <c r="D63" s="1464" t="str">
        <f t="shared" si="1"/>
        <v/>
      </c>
      <c r="E63" s="1463"/>
      <c r="F63" s="1464" t="str">
        <f t="shared" si="2"/>
        <v/>
      </c>
      <c r="G63" s="1465" t="str">
        <f t="shared" si="3"/>
        <v/>
      </c>
      <c r="H63" s="1464" t="e">
        <f t="shared" si="4"/>
        <v>#VALUE!</v>
      </c>
      <c r="I63" s="1414"/>
      <c r="J63" s="1463"/>
      <c r="K63" s="1463"/>
      <c r="L63" s="1463"/>
      <c r="M63" s="1465" t="str">
        <f t="shared" si="5"/>
        <v/>
      </c>
      <c r="N63" s="1463"/>
      <c r="O63" s="1451" t="str">
        <f t="shared" si="7"/>
        <v/>
      </c>
      <c r="P63" s="1451"/>
      <c r="Q63" s="1451"/>
      <c r="R63" s="1466"/>
      <c r="S63" s="1415"/>
      <c r="AT63" s="1403"/>
    </row>
    <row r="64" spans="1:46" s="1454" customFormat="1" ht="15" x14ac:dyDescent="0.25">
      <c r="A64" s="1461"/>
      <c r="B64" s="1462"/>
      <c r="C64" s="1463"/>
      <c r="D64" s="1464" t="str">
        <f t="shared" si="1"/>
        <v/>
      </c>
      <c r="E64" s="1463"/>
      <c r="F64" s="1464" t="str">
        <f t="shared" si="2"/>
        <v/>
      </c>
      <c r="G64" s="1465" t="str">
        <f t="shared" si="3"/>
        <v/>
      </c>
      <c r="H64" s="1464" t="e">
        <f t="shared" si="4"/>
        <v>#VALUE!</v>
      </c>
      <c r="I64" s="1414"/>
      <c r="J64" s="1463"/>
      <c r="K64" s="1463"/>
      <c r="L64" s="1463"/>
      <c r="M64" s="1465" t="str">
        <f t="shared" si="5"/>
        <v/>
      </c>
      <c r="N64" s="1463"/>
      <c r="O64" s="1451" t="str">
        <f t="shared" si="7"/>
        <v/>
      </c>
      <c r="P64" s="1451"/>
      <c r="Q64" s="1451"/>
      <c r="R64" s="1466"/>
      <c r="S64" s="1415"/>
      <c r="AT64" s="1403"/>
    </row>
    <row r="65" spans="1:46" s="1454" customFormat="1" ht="15" x14ac:dyDescent="0.25">
      <c r="A65" s="1461"/>
      <c r="B65" s="1462"/>
      <c r="C65" s="1463"/>
      <c r="D65" s="1464" t="str">
        <f t="shared" si="1"/>
        <v/>
      </c>
      <c r="E65" s="1463"/>
      <c r="F65" s="1464" t="str">
        <f t="shared" si="2"/>
        <v/>
      </c>
      <c r="G65" s="1465" t="str">
        <f t="shared" si="3"/>
        <v/>
      </c>
      <c r="H65" s="1464" t="e">
        <f t="shared" si="4"/>
        <v>#VALUE!</v>
      </c>
      <c r="I65" s="1414"/>
      <c r="J65" s="1463"/>
      <c r="K65" s="1463"/>
      <c r="L65" s="1463"/>
      <c r="M65" s="1465" t="str">
        <f t="shared" si="5"/>
        <v/>
      </c>
      <c r="N65" s="1463"/>
      <c r="O65" s="1451" t="str">
        <f t="shared" si="7"/>
        <v/>
      </c>
      <c r="P65" s="1451"/>
      <c r="Q65" s="1451"/>
      <c r="R65" s="1466"/>
      <c r="S65" s="1415"/>
      <c r="AT65" s="1403"/>
    </row>
    <row r="66" spans="1:46" s="1454" customFormat="1" ht="15" x14ac:dyDescent="0.25">
      <c r="A66" s="1461"/>
      <c r="B66" s="1462"/>
      <c r="C66" s="1463"/>
      <c r="D66" s="1464" t="str">
        <f t="shared" si="1"/>
        <v/>
      </c>
      <c r="E66" s="1463"/>
      <c r="F66" s="1464" t="str">
        <f t="shared" si="2"/>
        <v/>
      </c>
      <c r="G66" s="1465" t="str">
        <f t="shared" si="3"/>
        <v/>
      </c>
      <c r="H66" s="1464" t="e">
        <f t="shared" si="4"/>
        <v>#VALUE!</v>
      </c>
      <c r="I66" s="1414"/>
      <c r="J66" s="1463"/>
      <c r="K66" s="1463"/>
      <c r="L66" s="1463"/>
      <c r="M66" s="1465" t="str">
        <f t="shared" si="5"/>
        <v/>
      </c>
      <c r="N66" s="1463"/>
      <c r="O66" s="1451" t="str">
        <f t="shared" si="7"/>
        <v/>
      </c>
      <c r="P66" s="1451"/>
      <c r="Q66" s="1451"/>
      <c r="R66" s="1466"/>
      <c r="S66" s="1415"/>
      <c r="AT66" s="1403"/>
    </row>
    <row r="67" spans="1:46" s="1460" customFormat="1" ht="15" customHeight="1" thickBot="1" x14ac:dyDescent="0.3">
      <c r="A67" s="1467"/>
      <c r="B67" s="1405"/>
      <c r="C67" s="1468"/>
      <c r="D67" s="1469" t="str">
        <f t="shared" si="1"/>
        <v/>
      </c>
      <c r="E67" s="1468"/>
      <c r="F67" s="1469" t="str">
        <f t="shared" si="2"/>
        <v/>
      </c>
      <c r="G67" s="1470" t="str">
        <f t="shared" si="3"/>
        <v/>
      </c>
      <c r="H67" s="1469" t="e">
        <f t="shared" si="4"/>
        <v>#VALUE!</v>
      </c>
      <c r="I67" s="1173"/>
      <c r="J67" s="1468"/>
      <c r="K67" s="1468"/>
      <c r="L67" s="1468"/>
      <c r="M67" s="1470" t="str">
        <f t="shared" si="5"/>
        <v/>
      </c>
      <c r="N67" s="1468"/>
      <c r="O67" s="1451" t="str">
        <f t="shared" si="7"/>
        <v/>
      </c>
      <c r="P67" s="1451"/>
      <c r="Q67" s="1451"/>
      <c r="R67" s="1471"/>
      <c r="S67" s="1170"/>
      <c r="AT67" s="1404" t="str">
        <f t="shared" si="0"/>
        <v>-</v>
      </c>
    </row>
    <row r="68" spans="1:46" ht="15" x14ac:dyDescent="0.25">
      <c r="A68" s="2246" t="s">
        <v>1518</v>
      </c>
      <c r="B68" s="2247"/>
      <c r="C68" s="2230" t="s">
        <v>1498</v>
      </c>
      <c r="D68" s="2230"/>
      <c r="E68" s="2230"/>
      <c r="F68" s="2230"/>
      <c r="G68" s="2230"/>
      <c r="H68" s="2230"/>
      <c r="I68" s="2230"/>
      <c r="J68" s="2229" t="s">
        <v>1499</v>
      </c>
      <c r="K68" s="2230"/>
      <c r="L68" s="2230"/>
      <c r="M68" s="2230"/>
      <c r="N68" s="2230"/>
      <c r="O68" s="2230"/>
      <c r="P68" s="2230"/>
      <c r="Q68" s="2230"/>
      <c r="R68" s="2230"/>
      <c r="S68" s="833"/>
      <c r="AT68" s="293"/>
    </row>
    <row r="69" spans="1:46" ht="15" thickBot="1" x14ac:dyDescent="0.3">
      <c r="A69" s="2248"/>
      <c r="B69" s="2249"/>
      <c r="C69" s="2232"/>
      <c r="D69" s="2232"/>
      <c r="E69" s="2232"/>
      <c r="F69" s="2232"/>
      <c r="G69" s="2232"/>
      <c r="H69" s="2232"/>
      <c r="I69" s="2232"/>
      <c r="J69" s="2231"/>
      <c r="K69" s="2232"/>
      <c r="L69" s="2232"/>
      <c r="M69" s="2232"/>
      <c r="N69" s="2232"/>
      <c r="O69" s="2232"/>
      <c r="P69" s="2232"/>
      <c r="Q69" s="2232"/>
      <c r="R69" s="2232"/>
      <c r="S69" s="834" t="s">
        <v>1500</v>
      </c>
      <c r="AT69" s="293"/>
    </row>
    <row r="70" spans="1:46" ht="36.75" customHeight="1" x14ac:dyDescent="0.25">
      <c r="A70" s="2233" t="s">
        <v>301</v>
      </c>
      <c r="B70" s="2235" t="s">
        <v>1501</v>
      </c>
      <c r="C70" s="2233" t="s">
        <v>1519</v>
      </c>
      <c r="D70" s="2237" t="s">
        <v>1520</v>
      </c>
      <c r="E70" s="2237" t="s">
        <v>1521</v>
      </c>
      <c r="F70" s="2237" t="s">
        <v>1522</v>
      </c>
      <c r="G70" s="2237" t="s">
        <v>1506</v>
      </c>
      <c r="H70" s="2237" t="s">
        <v>1507</v>
      </c>
      <c r="I70" s="2235" t="s">
        <v>1508</v>
      </c>
      <c r="J70" s="2233" t="s">
        <v>1509</v>
      </c>
      <c r="K70" s="2237" t="s">
        <v>1510</v>
      </c>
      <c r="L70" s="2237"/>
      <c r="M70" s="2237" t="s">
        <v>1523</v>
      </c>
      <c r="N70" s="2237" t="s">
        <v>1524</v>
      </c>
      <c r="O70" s="2237" t="s">
        <v>1525</v>
      </c>
      <c r="P70" s="2237" t="s">
        <v>1526</v>
      </c>
      <c r="Q70" s="2237" t="s">
        <v>1527</v>
      </c>
      <c r="R70" s="2237" t="s">
        <v>1514</v>
      </c>
      <c r="S70" s="2235" t="s">
        <v>1528</v>
      </c>
      <c r="AT70" s="293"/>
    </row>
    <row r="71" spans="1:46" ht="39.75" customHeight="1" thickBot="1" x14ac:dyDescent="0.3">
      <c r="A71" s="2260"/>
      <c r="B71" s="2261"/>
      <c r="C71" s="2234"/>
      <c r="D71" s="2238"/>
      <c r="E71" s="2238"/>
      <c r="F71" s="2238"/>
      <c r="G71" s="2238"/>
      <c r="H71" s="2238"/>
      <c r="I71" s="2236"/>
      <c r="J71" s="2234"/>
      <c r="K71" s="835" t="s">
        <v>1516</v>
      </c>
      <c r="L71" s="835" t="s">
        <v>1517</v>
      </c>
      <c r="M71" s="2238"/>
      <c r="N71" s="2238"/>
      <c r="O71" s="2238"/>
      <c r="P71" s="2238"/>
      <c r="Q71" s="2238"/>
      <c r="R71" s="2262"/>
      <c r="S71" s="2236"/>
      <c r="AT71" s="293"/>
    </row>
    <row r="72" spans="1:46" s="736" customFormat="1" ht="15" x14ac:dyDescent="0.25">
      <c r="A72" s="870">
        <v>42</v>
      </c>
      <c r="B72" s="760" t="s">
        <v>498</v>
      </c>
      <c r="C72" s="1171">
        <v>10000000000</v>
      </c>
      <c r="D72" s="841">
        <f>IF(C72="","",C72/$C$72)</f>
        <v>1</v>
      </c>
      <c r="E72" s="1171">
        <v>12000000000</v>
      </c>
      <c r="F72" s="841">
        <f>IF(E72="","",E72/$E$72)</f>
        <v>1</v>
      </c>
      <c r="G72" s="842">
        <f t="shared" ref="G72:G129" si="9">IF(AND(C72="",E72=""),"",E72-C72)</f>
        <v>2000000000</v>
      </c>
      <c r="H72" s="841">
        <f t="shared" ref="H72:H129" si="10">IF(E72="",G72/C72,G72/E72)</f>
        <v>0.16666666666666666</v>
      </c>
      <c r="I72" s="1172"/>
      <c r="J72" s="1171">
        <v>12000000000</v>
      </c>
      <c r="K72" s="1171"/>
      <c r="L72" s="1171"/>
      <c r="M72" s="842">
        <f t="shared" ref="M72:M129" si="11">IF(J72="","",J72-K72+L72)</f>
        <v>12000000000</v>
      </c>
      <c r="N72" s="1171">
        <v>133000000000</v>
      </c>
      <c r="O72" s="841">
        <f>IF(OR(E72="",N72=""),"",N72/E72)</f>
        <v>11.083333333333334</v>
      </c>
      <c r="P72" s="1171">
        <v>12000000000</v>
      </c>
      <c r="Q72" s="841">
        <f>IF(OR(E72="",P72=""),"",P72/E72)</f>
        <v>1</v>
      </c>
      <c r="R72" s="958"/>
      <c r="S72" s="1174"/>
      <c r="AT72" s="732" t="str">
        <f t="shared" ref="AT72:AT105" si="12">CONCATENATE(A72,"-",B72)</f>
        <v>42-GASTOS</v>
      </c>
    </row>
    <row r="73" spans="1:46" s="736" customFormat="1" ht="15" x14ac:dyDescent="0.25">
      <c r="A73" s="870">
        <v>421</v>
      </c>
      <c r="B73" s="760" t="s">
        <v>1386</v>
      </c>
      <c r="C73" s="1163">
        <v>20000000</v>
      </c>
      <c r="D73" s="836">
        <f t="shared" ref="D73:D129" si="13">IF(C73="","",C73/$C$72)</f>
        <v>2E-3</v>
      </c>
      <c r="E73" s="1163">
        <v>200000</v>
      </c>
      <c r="F73" s="836">
        <f t="shared" ref="F73:F129" si="14">IF(E73="","",E73/$E$72)</f>
        <v>1.6666666666666667E-5</v>
      </c>
      <c r="G73" s="837">
        <f t="shared" si="9"/>
        <v>-19800000</v>
      </c>
      <c r="H73" s="836">
        <f t="shared" si="10"/>
        <v>-99</v>
      </c>
      <c r="I73" s="1166"/>
      <c r="J73" s="1163">
        <v>200000</v>
      </c>
      <c r="K73" s="1163"/>
      <c r="L73" s="1163"/>
      <c r="M73" s="837">
        <f t="shared" si="11"/>
        <v>200000</v>
      </c>
      <c r="N73" s="1163">
        <v>200000</v>
      </c>
      <c r="O73" s="836">
        <f t="shared" ref="O73:O129" si="15">IF(OR(E73="",N73=""),"",N73/E73)</f>
        <v>1</v>
      </c>
      <c r="P73" s="1163">
        <v>200000</v>
      </c>
      <c r="Q73" s="836">
        <f t="shared" ref="Q73:Q129" si="16">IF(OR(E73="",P73=""),"",P73/E73)</f>
        <v>1</v>
      </c>
      <c r="R73" s="958"/>
      <c r="S73" s="1168"/>
      <c r="AT73" s="732" t="str">
        <f t="shared" si="12"/>
        <v>421-GASTOS DE FUNCIONAMIENTO</v>
      </c>
    </row>
    <row r="74" spans="1:46" ht="15" x14ac:dyDescent="0.25">
      <c r="A74" s="869">
        <v>4211</v>
      </c>
      <c r="B74" s="843" t="s">
        <v>1388</v>
      </c>
      <c r="C74" s="1164">
        <v>3000000</v>
      </c>
      <c r="D74" s="839">
        <f t="shared" si="13"/>
        <v>2.9999999999999997E-4</v>
      </c>
      <c r="E74" s="1164">
        <v>5000000</v>
      </c>
      <c r="F74" s="839">
        <f t="shared" si="14"/>
        <v>4.1666666666666669E-4</v>
      </c>
      <c r="G74" s="840">
        <f t="shared" si="9"/>
        <v>2000000</v>
      </c>
      <c r="H74" s="839">
        <f t="shared" si="10"/>
        <v>0.4</v>
      </c>
      <c r="I74" s="1167"/>
      <c r="J74" s="1164">
        <v>5000000</v>
      </c>
      <c r="K74" s="1164"/>
      <c r="L74" s="1164"/>
      <c r="M74" s="840">
        <f t="shared" si="11"/>
        <v>5000000</v>
      </c>
      <c r="N74" s="1164">
        <v>5000000</v>
      </c>
      <c r="O74" s="839">
        <f t="shared" si="15"/>
        <v>1</v>
      </c>
      <c r="P74" s="1164">
        <v>5000000</v>
      </c>
      <c r="Q74" s="839">
        <f t="shared" si="16"/>
        <v>1</v>
      </c>
      <c r="R74" s="958"/>
      <c r="S74" s="1169"/>
      <c r="AT74" s="293" t="str">
        <f t="shared" si="12"/>
        <v>4211-Gasto de personal</v>
      </c>
    </row>
    <row r="75" spans="1:46" ht="15" x14ac:dyDescent="0.25">
      <c r="A75" s="869">
        <v>421101</v>
      </c>
      <c r="B75" s="843" t="s">
        <v>1390</v>
      </c>
      <c r="C75" s="1164">
        <v>120000</v>
      </c>
      <c r="D75" s="839">
        <f t="shared" si="13"/>
        <v>1.2E-5</v>
      </c>
      <c r="E75" s="1164">
        <v>120000</v>
      </c>
      <c r="F75" s="839">
        <f t="shared" si="14"/>
        <v>1.0000000000000001E-5</v>
      </c>
      <c r="G75" s="840">
        <f t="shared" si="9"/>
        <v>0</v>
      </c>
      <c r="H75" s="839">
        <f t="shared" si="10"/>
        <v>0</v>
      </c>
      <c r="I75" s="1167"/>
      <c r="J75" s="1164">
        <v>120000</v>
      </c>
      <c r="K75" s="1164"/>
      <c r="L75" s="1164"/>
      <c r="M75" s="840">
        <f t="shared" si="11"/>
        <v>120000</v>
      </c>
      <c r="N75" s="1164">
        <v>120000</v>
      </c>
      <c r="O75" s="839">
        <f t="shared" si="15"/>
        <v>1</v>
      </c>
      <c r="P75" s="1164">
        <v>120000</v>
      </c>
      <c r="Q75" s="839">
        <f t="shared" si="16"/>
        <v>1</v>
      </c>
      <c r="R75" s="958"/>
      <c r="S75" s="1169"/>
      <c r="AT75" s="293" t="str">
        <f t="shared" si="12"/>
        <v>421101-Planta de Personal permanente</v>
      </c>
    </row>
    <row r="76" spans="1:46" ht="16.5" customHeight="1" x14ac:dyDescent="0.25">
      <c r="A76" s="869">
        <v>421102</v>
      </c>
      <c r="B76" s="843" t="s">
        <v>1392</v>
      </c>
      <c r="C76" s="1164">
        <v>2000000</v>
      </c>
      <c r="D76" s="839">
        <f t="shared" si="13"/>
        <v>2.0000000000000001E-4</v>
      </c>
      <c r="E76" s="1164">
        <v>2000000</v>
      </c>
      <c r="F76" s="839">
        <f t="shared" si="14"/>
        <v>1.6666666666666666E-4</v>
      </c>
      <c r="G76" s="840">
        <f t="shared" si="9"/>
        <v>0</v>
      </c>
      <c r="H76" s="839">
        <f t="shared" si="10"/>
        <v>0</v>
      </c>
      <c r="I76" s="1167"/>
      <c r="J76" s="1164">
        <v>2000000</v>
      </c>
      <c r="K76" s="1164"/>
      <c r="L76" s="1164"/>
      <c r="M76" s="840">
        <f t="shared" si="11"/>
        <v>2000000</v>
      </c>
      <c r="N76" s="1164">
        <v>2000000</v>
      </c>
      <c r="O76" s="839">
        <f t="shared" si="15"/>
        <v>1</v>
      </c>
      <c r="P76" s="1164">
        <v>2000000</v>
      </c>
      <c r="Q76" s="839">
        <f t="shared" si="16"/>
        <v>1</v>
      </c>
      <c r="R76" s="958"/>
      <c r="S76" s="1169"/>
      <c r="AT76" s="293" t="str">
        <f t="shared" si="12"/>
        <v>421102-Personal supernumerario y Planta temporal</v>
      </c>
    </row>
    <row r="77" spans="1:46" ht="15" x14ac:dyDescent="0.25">
      <c r="A77" s="869">
        <v>4212</v>
      </c>
      <c r="B77" s="843" t="s">
        <v>1395</v>
      </c>
      <c r="C77" s="1164">
        <v>12000</v>
      </c>
      <c r="D77" s="839">
        <f t="shared" si="13"/>
        <v>1.1999999999999999E-6</v>
      </c>
      <c r="E77" s="1164">
        <v>12000</v>
      </c>
      <c r="F77" s="839">
        <f t="shared" si="14"/>
        <v>9.9999999999999995E-7</v>
      </c>
      <c r="G77" s="840">
        <f t="shared" si="9"/>
        <v>0</v>
      </c>
      <c r="H77" s="839">
        <f t="shared" si="10"/>
        <v>0</v>
      </c>
      <c r="I77" s="1167"/>
      <c r="J77" s="1164">
        <v>12000</v>
      </c>
      <c r="K77" s="1164"/>
      <c r="L77" s="1164"/>
      <c r="M77" s="840">
        <f t="shared" si="11"/>
        <v>12000</v>
      </c>
      <c r="N77" s="1164">
        <v>12000</v>
      </c>
      <c r="O77" s="839">
        <f t="shared" si="15"/>
        <v>1</v>
      </c>
      <c r="P77" s="1164">
        <v>12000</v>
      </c>
      <c r="Q77" s="839">
        <f t="shared" si="16"/>
        <v>1</v>
      </c>
      <c r="R77" s="958"/>
      <c r="S77" s="1169"/>
      <c r="AT77" s="293" t="str">
        <f t="shared" si="12"/>
        <v>4212-Adquisición bienes y servicios</v>
      </c>
    </row>
    <row r="78" spans="1:46" ht="15" x14ac:dyDescent="0.25">
      <c r="A78" s="869">
        <v>421201</v>
      </c>
      <c r="B78" s="843" t="s">
        <v>1397</v>
      </c>
      <c r="C78" s="1164">
        <v>12000</v>
      </c>
      <c r="D78" s="839">
        <f t="shared" si="13"/>
        <v>1.1999999999999999E-6</v>
      </c>
      <c r="E78" s="1164">
        <v>12000</v>
      </c>
      <c r="F78" s="839">
        <f t="shared" si="14"/>
        <v>9.9999999999999995E-7</v>
      </c>
      <c r="G78" s="840">
        <f t="shared" si="9"/>
        <v>0</v>
      </c>
      <c r="H78" s="839">
        <f t="shared" si="10"/>
        <v>0</v>
      </c>
      <c r="I78" s="1167"/>
      <c r="J78" s="1164">
        <v>12000</v>
      </c>
      <c r="K78" s="1164"/>
      <c r="L78" s="1164"/>
      <c r="M78" s="840">
        <f t="shared" si="11"/>
        <v>12000</v>
      </c>
      <c r="N78" s="1164">
        <v>12000</v>
      </c>
      <c r="O78" s="839">
        <f t="shared" si="15"/>
        <v>1</v>
      </c>
      <c r="P78" s="1164">
        <v>12000</v>
      </c>
      <c r="Q78" s="839">
        <f t="shared" si="16"/>
        <v>1</v>
      </c>
      <c r="R78" s="958" t="s">
        <v>1571</v>
      </c>
      <c r="S78" s="1169"/>
      <c r="AT78" s="293" t="str">
        <f t="shared" si="12"/>
        <v>421201-Adquisición de activos no financieros</v>
      </c>
    </row>
    <row r="79" spans="1:46" ht="15" x14ac:dyDescent="0.25">
      <c r="A79" s="869">
        <v>421202</v>
      </c>
      <c r="B79" s="843" t="s">
        <v>1399</v>
      </c>
      <c r="C79" s="1164">
        <v>12000</v>
      </c>
      <c r="D79" s="839">
        <f t="shared" si="13"/>
        <v>1.1999999999999999E-6</v>
      </c>
      <c r="E79" s="1164">
        <v>12000</v>
      </c>
      <c r="F79" s="839">
        <f t="shared" si="14"/>
        <v>9.9999999999999995E-7</v>
      </c>
      <c r="G79" s="840">
        <f t="shared" si="9"/>
        <v>0</v>
      </c>
      <c r="H79" s="839">
        <f t="shared" si="10"/>
        <v>0</v>
      </c>
      <c r="I79" s="1167"/>
      <c r="J79" s="1164">
        <v>12000</v>
      </c>
      <c r="K79" s="1164"/>
      <c r="L79" s="1164"/>
      <c r="M79" s="840">
        <f t="shared" si="11"/>
        <v>12000</v>
      </c>
      <c r="N79" s="1164">
        <v>12000</v>
      </c>
      <c r="O79" s="839">
        <f t="shared" si="15"/>
        <v>1</v>
      </c>
      <c r="P79" s="1164">
        <v>12000</v>
      </c>
      <c r="Q79" s="839">
        <f t="shared" si="16"/>
        <v>1</v>
      </c>
      <c r="R79" s="958"/>
      <c r="S79" s="1169"/>
      <c r="AT79" s="293" t="str">
        <f t="shared" si="12"/>
        <v>421202-Adquisiciones diferentes de activos</v>
      </c>
    </row>
    <row r="80" spans="1:46" ht="15" x14ac:dyDescent="0.25">
      <c r="A80" s="869">
        <v>4213</v>
      </c>
      <c r="B80" s="843" t="s">
        <v>1401</v>
      </c>
      <c r="C80" s="1164">
        <v>12000</v>
      </c>
      <c r="D80" s="839">
        <f t="shared" si="13"/>
        <v>1.1999999999999999E-6</v>
      </c>
      <c r="E80" s="1164">
        <v>130000</v>
      </c>
      <c r="F80" s="839">
        <f t="shared" si="14"/>
        <v>1.0833333333333334E-5</v>
      </c>
      <c r="G80" s="840">
        <f t="shared" si="9"/>
        <v>118000</v>
      </c>
      <c r="H80" s="839">
        <f t="shared" si="10"/>
        <v>0.90769230769230769</v>
      </c>
      <c r="I80" s="1167"/>
      <c r="J80" s="1164">
        <v>130000</v>
      </c>
      <c r="K80" s="1164"/>
      <c r="L80" s="1164"/>
      <c r="M80" s="840">
        <f t="shared" si="11"/>
        <v>130000</v>
      </c>
      <c r="N80" s="1164">
        <v>130000</v>
      </c>
      <c r="O80" s="839">
        <f t="shared" si="15"/>
        <v>1</v>
      </c>
      <c r="P80" s="1164">
        <v>130000</v>
      </c>
      <c r="Q80" s="839">
        <f t="shared" si="16"/>
        <v>1</v>
      </c>
      <c r="R80" s="958"/>
      <c r="S80" s="1169"/>
      <c r="AT80" s="293" t="str">
        <f t="shared" si="12"/>
        <v>4213-Transferencias CORRIENTES</v>
      </c>
    </row>
    <row r="81" spans="1:46" ht="15" x14ac:dyDescent="0.25">
      <c r="A81" s="869">
        <v>421304</v>
      </c>
      <c r="B81" s="843" t="s">
        <v>1403</v>
      </c>
      <c r="C81" s="1164">
        <v>12000</v>
      </c>
      <c r="D81" s="839">
        <f t="shared" si="13"/>
        <v>1.1999999999999999E-6</v>
      </c>
      <c r="E81" s="1164">
        <v>12000</v>
      </c>
      <c r="F81" s="839">
        <f t="shared" si="14"/>
        <v>9.9999999999999995E-7</v>
      </c>
      <c r="G81" s="840">
        <f t="shared" si="9"/>
        <v>0</v>
      </c>
      <c r="H81" s="839">
        <f t="shared" si="10"/>
        <v>0</v>
      </c>
      <c r="I81" s="1167"/>
      <c r="J81" s="1164">
        <v>12000</v>
      </c>
      <c r="K81" s="1164"/>
      <c r="L81" s="1164"/>
      <c r="M81" s="840">
        <f t="shared" si="11"/>
        <v>12000</v>
      </c>
      <c r="N81" s="1164">
        <v>12000</v>
      </c>
      <c r="O81" s="839">
        <f t="shared" si="15"/>
        <v>1</v>
      </c>
      <c r="P81" s="1164">
        <v>12000</v>
      </c>
      <c r="Q81" s="839">
        <f t="shared" si="16"/>
        <v>1</v>
      </c>
      <c r="R81" s="958"/>
      <c r="S81" s="1169"/>
      <c r="AT81" s="293" t="str">
        <f t="shared" si="12"/>
        <v>421304-A organizaciones nacionales</v>
      </c>
    </row>
    <row r="82" spans="1:46" ht="15" x14ac:dyDescent="0.25">
      <c r="A82" s="869">
        <v>421305</v>
      </c>
      <c r="B82" s="843" t="s">
        <v>1405</v>
      </c>
      <c r="C82" s="1164">
        <v>12000</v>
      </c>
      <c r="D82" s="839">
        <f t="shared" si="13"/>
        <v>1.1999999999999999E-6</v>
      </c>
      <c r="E82" s="1164">
        <v>12000</v>
      </c>
      <c r="F82" s="839">
        <f t="shared" si="14"/>
        <v>9.9999999999999995E-7</v>
      </c>
      <c r="G82" s="840">
        <f t="shared" si="9"/>
        <v>0</v>
      </c>
      <c r="H82" s="839">
        <f t="shared" si="10"/>
        <v>0</v>
      </c>
      <c r="I82" s="1167"/>
      <c r="J82" s="1164">
        <v>12000</v>
      </c>
      <c r="K82" s="1164"/>
      <c r="L82" s="1164"/>
      <c r="M82" s="840">
        <f t="shared" si="11"/>
        <v>12000</v>
      </c>
      <c r="N82" s="1164">
        <v>12000</v>
      </c>
      <c r="O82" s="839">
        <f t="shared" si="15"/>
        <v>1</v>
      </c>
      <c r="P82" s="1164">
        <v>12000</v>
      </c>
      <c r="Q82" s="839">
        <f t="shared" si="16"/>
        <v>1</v>
      </c>
      <c r="R82" s="958"/>
      <c r="S82" s="1169"/>
      <c r="AT82" s="293" t="str">
        <f t="shared" si="12"/>
        <v>421305-A entidades del gobierno</v>
      </c>
    </row>
    <row r="83" spans="1:46" ht="15" x14ac:dyDescent="0.25">
      <c r="A83" s="869">
        <v>0</v>
      </c>
      <c r="B83" s="843" t="s">
        <v>440</v>
      </c>
      <c r="C83" s="1164">
        <v>12000</v>
      </c>
      <c r="D83" s="839">
        <f t="shared" si="13"/>
        <v>1.1999999999999999E-6</v>
      </c>
      <c r="E83" s="1164">
        <v>12000</v>
      </c>
      <c r="F83" s="839">
        <f t="shared" si="14"/>
        <v>9.9999999999999995E-7</v>
      </c>
      <c r="G83" s="840">
        <f t="shared" si="9"/>
        <v>0</v>
      </c>
      <c r="H83" s="839">
        <f t="shared" si="10"/>
        <v>0</v>
      </c>
      <c r="I83" s="1167"/>
      <c r="J83" s="1164">
        <v>12000</v>
      </c>
      <c r="K83" s="1164"/>
      <c r="L83" s="1164"/>
      <c r="M83" s="840">
        <f t="shared" si="11"/>
        <v>12000</v>
      </c>
      <c r="N83" s="1164">
        <v>12000</v>
      </c>
      <c r="O83" s="839">
        <f t="shared" si="15"/>
        <v>1</v>
      </c>
      <c r="P83" s="1164">
        <v>12000</v>
      </c>
      <c r="Q83" s="839">
        <f t="shared" si="16"/>
        <v>1</v>
      </c>
      <c r="R83" s="958"/>
      <c r="S83" s="1169"/>
      <c r="AT83" s="293" t="str">
        <f t="shared" si="12"/>
        <v>0-Adquisición de activos financieros</v>
      </c>
    </row>
    <row r="84" spans="1:46" ht="15" x14ac:dyDescent="0.25">
      <c r="A84" s="869">
        <v>421314</v>
      </c>
      <c r="B84" s="843" t="s">
        <v>1407</v>
      </c>
      <c r="C84" s="1164">
        <v>12009</v>
      </c>
      <c r="D84" s="839">
        <f t="shared" si="13"/>
        <v>1.2009E-6</v>
      </c>
      <c r="E84" s="1164">
        <v>12000</v>
      </c>
      <c r="F84" s="839">
        <f t="shared" si="14"/>
        <v>9.9999999999999995E-7</v>
      </c>
      <c r="G84" s="840">
        <f t="shared" si="9"/>
        <v>-9</v>
      </c>
      <c r="H84" s="839">
        <f t="shared" si="10"/>
        <v>-7.5000000000000002E-4</v>
      </c>
      <c r="I84" s="1167"/>
      <c r="J84" s="1164">
        <v>12000</v>
      </c>
      <c r="K84" s="1164"/>
      <c r="L84" s="1164"/>
      <c r="M84" s="840">
        <f t="shared" si="11"/>
        <v>12000</v>
      </c>
      <c r="N84" s="1164">
        <v>12000</v>
      </c>
      <c r="O84" s="839">
        <f t="shared" si="15"/>
        <v>1</v>
      </c>
      <c r="P84" s="1164">
        <v>12000</v>
      </c>
      <c r="Q84" s="839">
        <f t="shared" si="16"/>
        <v>1</v>
      </c>
      <c r="R84" s="958"/>
      <c r="S84" s="1169"/>
      <c r="AT84" s="293" t="str">
        <f t="shared" si="12"/>
        <v>421314-Aportes al FONPET</v>
      </c>
    </row>
    <row r="85" spans="1:46" ht="15" x14ac:dyDescent="0.25">
      <c r="A85" s="869">
        <v>4217</v>
      </c>
      <c r="B85" s="843" t="s">
        <v>1409</v>
      </c>
      <c r="C85" s="1164">
        <v>12010</v>
      </c>
      <c r="D85" s="839">
        <f t="shared" si="13"/>
        <v>1.201E-6</v>
      </c>
      <c r="E85" s="1164">
        <v>12000</v>
      </c>
      <c r="F85" s="839">
        <f t="shared" si="14"/>
        <v>9.9999999999999995E-7</v>
      </c>
      <c r="G85" s="840">
        <f t="shared" si="9"/>
        <v>-10</v>
      </c>
      <c r="H85" s="839">
        <f t="shared" si="10"/>
        <v>-8.3333333333333339E-4</v>
      </c>
      <c r="I85" s="1167"/>
      <c r="J85" s="1164">
        <v>12000</v>
      </c>
      <c r="K85" s="1164"/>
      <c r="L85" s="1164"/>
      <c r="M85" s="840">
        <f t="shared" si="11"/>
        <v>12000</v>
      </c>
      <c r="N85" s="1164">
        <v>12000</v>
      </c>
      <c r="O85" s="839">
        <f t="shared" si="15"/>
        <v>1</v>
      </c>
      <c r="P85" s="1164">
        <v>12000</v>
      </c>
      <c r="Q85" s="839">
        <f t="shared" si="16"/>
        <v>1</v>
      </c>
      <c r="R85" s="958"/>
      <c r="S85" s="1169"/>
      <c r="AT85" s="293" t="str">
        <f t="shared" si="12"/>
        <v>4217-Disminución de Pasivos</v>
      </c>
    </row>
    <row r="86" spans="1:46" ht="18.75" customHeight="1" x14ac:dyDescent="0.25">
      <c r="A86" s="869">
        <v>4218</v>
      </c>
      <c r="B86" s="843" t="s">
        <v>442</v>
      </c>
      <c r="C86" s="1164">
        <v>12000</v>
      </c>
      <c r="D86" s="839">
        <f t="shared" si="13"/>
        <v>1.1999999999999999E-6</v>
      </c>
      <c r="E86" s="1164">
        <v>12000</v>
      </c>
      <c r="F86" s="839">
        <f t="shared" si="14"/>
        <v>9.9999999999999995E-7</v>
      </c>
      <c r="G86" s="840">
        <f t="shared" si="9"/>
        <v>0</v>
      </c>
      <c r="H86" s="839">
        <f t="shared" si="10"/>
        <v>0</v>
      </c>
      <c r="I86" s="1167"/>
      <c r="J86" s="1164">
        <v>12000</v>
      </c>
      <c r="K86" s="1164"/>
      <c r="L86" s="1164"/>
      <c r="M86" s="840">
        <f t="shared" si="11"/>
        <v>12000</v>
      </c>
      <c r="N86" s="1164">
        <v>12000</v>
      </c>
      <c r="O86" s="839">
        <f t="shared" si="15"/>
        <v>1</v>
      </c>
      <c r="P86" s="1164">
        <v>12000</v>
      </c>
      <c r="Q86" s="839">
        <f t="shared" si="16"/>
        <v>1</v>
      </c>
      <c r="R86" s="958"/>
      <c r="S86" s="1169"/>
      <c r="AT86" s="293" t="str">
        <f t="shared" si="12"/>
        <v>4218-Gastos por tributos, tasas, contribuciones, multas, sanciones e intereses de mora</v>
      </c>
    </row>
    <row r="87" spans="1:46" s="736" customFormat="1" ht="15" x14ac:dyDescent="0.25">
      <c r="A87" s="870">
        <v>422</v>
      </c>
      <c r="B87" s="760" t="s">
        <v>1412</v>
      </c>
      <c r="C87" s="1163">
        <v>12001</v>
      </c>
      <c r="D87" s="836">
        <f t="shared" si="13"/>
        <v>1.2001E-6</v>
      </c>
      <c r="E87" s="1163">
        <v>12001</v>
      </c>
      <c r="F87" s="836">
        <f t="shared" si="14"/>
        <v>1.0000833333333333E-6</v>
      </c>
      <c r="G87" s="837">
        <f t="shared" si="9"/>
        <v>0</v>
      </c>
      <c r="H87" s="836">
        <f t="shared" si="10"/>
        <v>0</v>
      </c>
      <c r="I87" s="1166"/>
      <c r="J87" s="1163">
        <v>12001</v>
      </c>
      <c r="K87" s="1163"/>
      <c r="L87" s="1163"/>
      <c r="M87" s="837">
        <f t="shared" si="11"/>
        <v>12001</v>
      </c>
      <c r="N87" s="1163">
        <v>12001</v>
      </c>
      <c r="O87" s="836">
        <f t="shared" si="15"/>
        <v>1</v>
      </c>
      <c r="P87" s="1163">
        <v>12001</v>
      </c>
      <c r="Q87" s="836">
        <f t="shared" si="16"/>
        <v>1</v>
      </c>
      <c r="R87" s="958"/>
      <c r="S87" s="1168"/>
      <c r="AT87" s="732" t="str">
        <f t="shared" si="12"/>
        <v>422-SERVICIO DE LA DEUDA PÚBLICA</v>
      </c>
    </row>
    <row r="88" spans="1:46" ht="15" x14ac:dyDescent="0.25">
      <c r="A88" s="869">
        <v>4221</v>
      </c>
      <c r="B88" s="843" t="s">
        <v>1414</v>
      </c>
      <c r="C88" s="1164">
        <v>12002</v>
      </c>
      <c r="D88" s="839">
        <f t="shared" si="13"/>
        <v>1.2002E-6</v>
      </c>
      <c r="E88" s="1164">
        <v>12002</v>
      </c>
      <c r="F88" s="839">
        <f t="shared" si="14"/>
        <v>1.0001666666666666E-6</v>
      </c>
      <c r="G88" s="840">
        <f t="shared" si="9"/>
        <v>0</v>
      </c>
      <c r="H88" s="839">
        <f t="shared" si="10"/>
        <v>0</v>
      </c>
      <c r="I88" s="1167"/>
      <c r="J88" s="1164">
        <v>12002</v>
      </c>
      <c r="K88" s="1164"/>
      <c r="L88" s="1164"/>
      <c r="M88" s="840">
        <f t="shared" si="11"/>
        <v>12002</v>
      </c>
      <c r="N88" s="1164">
        <v>12002</v>
      </c>
      <c r="O88" s="839">
        <f t="shared" si="15"/>
        <v>1</v>
      </c>
      <c r="P88" s="1164">
        <v>12002</v>
      </c>
      <c r="Q88" s="839">
        <f t="shared" si="16"/>
        <v>1</v>
      </c>
      <c r="R88" s="958"/>
      <c r="S88" s="1169"/>
      <c r="AT88" s="293" t="str">
        <f t="shared" si="12"/>
        <v>4221-Servicios de la deuda pública externa</v>
      </c>
    </row>
    <row r="89" spans="1:46" ht="15" x14ac:dyDescent="0.25">
      <c r="A89" s="869">
        <v>422101</v>
      </c>
      <c r="B89" s="843" t="s">
        <v>1416</v>
      </c>
      <c r="C89" s="1164">
        <v>12003</v>
      </c>
      <c r="D89" s="839">
        <f t="shared" si="13"/>
        <v>1.2003E-6</v>
      </c>
      <c r="E89" s="1164">
        <v>12003</v>
      </c>
      <c r="F89" s="839">
        <f t="shared" si="14"/>
        <v>1.0002500000000001E-6</v>
      </c>
      <c r="G89" s="840">
        <f t="shared" si="9"/>
        <v>0</v>
      </c>
      <c r="H89" s="839">
        <f t="shared" si="10"/>
        <v>0</v>
      </c>
      <c r="I89" s="1167"/>
      <c r="J89" s="1164">
        <v>12003</v>
      </c>
      <c r="K89" s="1164"/>
      <c r="L89" s="1164"/>
      <c r="M89" s="840">
        <f t="shared" si="11"/>
        <v>12003</v>
      </c>
      <c r="N89" s="1164">
        <v>12003</v>
      </c>
      <c r="O89" s="839">
        <f t="shared" si="15"/>
        <v>1</v>
      </c>
      <c r="P89" s="1164">
        <v>12003</v>
      </c>
      <c r="Q89" s="839">
        <f t="shared" si="16"/>
        <v>1</v>
      </c>
      <c r="R89" s="958"/>
      <c r="S89" s="1169"/>
      <c r="AT89" s="293" t="str">
        <f t="shared" si="12"/>
        <v>422101-Principal</v>
      </c>
    </row>
    <row r="90" spans="1:46" ht="15" x14ac:dyDescent="0.25">
      <c r="A90" s="869">
        <v>422102</v>
      </c>
      <c r="B90" s="843" t="s">
        <v>1418</v>
      </c>
      <c r="C90" s="1164">
        <v>12004</v>
      </c>
      <c r="D90" s="839">
        <f t="shared" si="13"/>
        <v>1.2004E-6</v>
      </c>
      <c r="E90" s="1164">
        <v>12004</v>
      </c>
      <c r="F90" s="839">
        <f t="shared" si="14"/>
        <v>1.0003333333333334E-6</v>
      </c>
      <c r="G90" s="840">
        <f t="shared" si="9"/>
        <v>0</v>
      </c>
      <c r="H90" s="839">
        <f t="shared" si="10"/>
        <v>0</v>
      </c>
      <c r="I90" s="1167"/>
      <c r="J90" s="1164">
        <v>12004</v>
      </c>
      <c r="K90" s="1164"/>
      <c r="L90" s="1164"/>
      <c r="M90" s="840">
        <f t="shared" si="11"/>
        <v>12004</v>
      </c>
      <c r="N90" s="1164">
        <v>12004</v>
      </c>
      <c r="O90" s="839">
        <f t="shared" si="15"/>
        <v>1</v>
      </c>
      <c r="P90" s="1164">
        <v>12004</v>
      </c>
      <c r="Q90" s="839">
        <f t="shared" si="16"/>
        <v>1</v>
      </c>
      <c r="R90" s="958"/>
      <c r="S90" s="1169"/>
      <c r="AT90" s="293" t="str">
        <f t="shared" si="12"/>
        <v>422102-Intereses</v>
      </c>
    </row>
    <row r="91" spans="1:46" ht="15" x14ac:dyDescent="0.25">
      <c r="A91" s="869">
        <v>4222</v>
      </c>
      <c r="B91" s="843" t="s">
        <v>1420</v>
      </c>
      <c r="C91" s="1164">
        <v>12005</v>
      </c>
      <c r="D91" s="839">
        <f t="shared" si="13"/>
        <v>1.2005E-6</v>
      </c>
      <c r="E91" s="1164">
        <v>12005</v>
      </c>
      <c r="F91" s="839">
        <f t="shared" si="14"/>
        <v>1.0004166666666667E-6</v>
      </c>
      <c r="G91" s="840">
        <f t="shared" si="9"/>
        <v>0</v>
      </c>
      <c r="H91" s="839">
        <f t="shared" si="10"/>
        <v>0</v>
      </c>
      <c r="I91" s="1167"/>
      <c r="J91" s="1164">
        <v>12005</v>
      </c>
      <c r="K91" s="1164"/>
      <c r="L91" s="1164"/>
      <c r="M91" s="840">
        <f t="shared" si="11"/>
        <v>12005</v>
      </c>
      <c r="N91" s="1164">
        <v>12005</v>
      </c>
      <c r="O91" s="839">
        <f t="shared" si="15"/>
        <v>1</v>
      </c>
      <c r="P91" s="1164">
        <v>12005</v>
      </c>
      <c r="Q91" s="839">
        <f t="shared" si="16"/>
        <v>1</v>
      </c>
      <c r="R91" s="958"/>
      <c r="S91" s="1169"/>
      <c r="AT91" s="293" t="str">
        <f t="shared" si="12"/>
        <v>4222-Servicios de la deuda pública interna</v>
      </c>
    </row>
    <row r="92" spans="1:46" ht="15" x14ac:dyDescent="0.25">
      <c r="A92" s="869">
        <v>422201</v>
      </c>
      <c r="B92" s="843" t="s">
        <v>1416</v>
      </c>
      <c r="C92" s="1164">
        <v>12006</v>
      </c>
      <c r="D92" s="839">
        <f t="shared" si="13"/>
        <v>1.2006E-6</v>
      </c>
      <c r="E92" s="1164">
        <v>12006</v>
      </c>
      <c r="F92" s="839">
        <f t="shared" si="14"/>
        <v>1.0005E-6</v>
      </c>
      <c r="G92" s="840">
        <f t="shared" si="9"/>
        <v>0</v>
      </c>
      <c r="H92" s="839">
        <f t="shared" si="10"/>
        <v>0</v>
      </c>
      <c r="I92" s="1167"/>
      <c r="J92" s="1164">
        <v>12006</v>
      </c>
      <c r="K92" s="1164"/>
      <c r="L92" s="1164"/>
      <c r="M92" s="840">
        <f t="shared" si="11"/>
        <v>12006</v>
      </c>
      <c r="N92" s="1164">
        <v>12006</v>
      </c>
      <c r="O92" s="839">
        <f t="shared" si="15"/>
        <v>1</v>
      </c>
      <c r="P92" s="1164">
        <v>12006</v>
      </c>
      <c r="Q92" s="839">
        <f t="shared" si="16"/>
        <v>1</v>
      </c>
      <c r="R92" s="958"/>
      <c r="S92" s="1169"/>
      <c r="AT92" s="293" t="str">
        <f t="shared" si="12"/>
        <v>422201-Principal</v>
      </c>
    </row>
    <row r="93" spans="1:46" ht="18.600000000000001" customHeight="1" x14ac:dyDescent="0.25">
      <c r="A93" s="869">
        <v>422202</v>
      </c>
      <c r="B93" s="843" t="s">
        <v>1418</v>
      </c>
      <c r="C93" s="1164">
        <v>12007</v>
      </c>
      <c r="D93" s="839">
        <f t="shared" si="13"/>
        <v>1.2007E-6</v>
      </c>
      <c r="E93" s="1164">
        <v>12007</v>
      </c>
      <c r="F93" s="839">
        <f t="shared" si="14"/>
        <v>1.0005833333333333E-6</v>
      </c>
      <c r="G93" s="840">
        <f t="shared" si="9"/>
        <v>0</v>
      </c>
      <c r="H93" s="839">
        <f t="shared" si="10"/>
        <v>0</v>
      </c>
      <c r="I93" s="1167"/>
      <c r="J93" s="1164">
        <v>12007</v>
      </c>
      <c r="K93" s="1164"/>
      <c r="L93" s="1164"/>
      <c r="M93" s="840">
        <f t="shared" si="11"/>
        <v>12007</v>
      </c>
      <c r="N93" s="1164">
        <v>12007</v>
      </c>
      <c r="O93" s="839">
        <f t="shared" si="15"/>
        <v>1</v>
      </c>
      <c r="P93" s="1164">
        <v>12007</v>
      </c>
      <c r="Q93" s="839">
        <f t="shared" si="16"/>
        <v>1</v>
      </c>
      <c r="R93" s="958"/>
      <c r="S93" s="1169"/>
      <c r="AT93" s="293" t="str">
        <f t="shared" si="12"/>
        <v>422202-Intereses</v>
      </c>
    </row>
    <row r="94" spans="1:46" ht="15" x14ac:dyDescent="0.25">
      <c r="A94" s="869">
        <v>422203</v>
      </c>
      <c r="B94" s="843" t="s">
        <v>1424</v>
      </c>
      <c r="C94" s="1164">
        <v>12008</v>
      </c>
      <c r="D94" s="839">
        <f t="shared" si="13"/>
        <v>1.2008E-6</v>
      </c>
      <c r="E94" s="1164">
        <v>12008</v>
      </c>
      <c r="F94" s="839">
        <f t="shared" si="14"/>
        <v>1.0006666666666666E-6</v>
      </c>
      <c r="G94" s="840">
        <f t="shared" si="9"/>
        <v>0</v>
      </c>
      <c r="H94" s="839">
        <f t="shared" si="10"/>
        <v>0</v>
      </c>
      <c r="I94" s="1167"/>
      <c r="J94" s="1164">
        <v>12008</v>
      </c>
      <c r="K94" s="1164"/>
      <c r="L94" s="1164"/>
      <c r="M94" s="840">
        <f t="shared" si="11"/>
        <v>12008</v>
      </c>
      <c r="N94" s="1164">
        <v>12008</v>
      </c>
      <c r="O94" s="839">
        <f t="shared" si="15"/>
        <v>1</v>
      </c>
      <c r="P94" s="1164">
        <v>12008</v>
      </c>
      <c r="Q94" s="839">
        <f t="shared" si="16"/>
        <v>1</v>
      </c>
      <c r="R94" s="958"/>
      <c r="S94" s="1169"/>
      <c r="AT94" s="293" t="str">
        <f t="shared" si="12"/>
        <v>422203-Comisiones y otros GASTOS</v>
      </c>
    </row>
    <row r="95" spans="1:46" s="736" customFormat="1" ht="15" x14ac:dyDescent="0.25">
      <c r="A95" s="870">
        <v>423</v>
      </c>
      <c r="B95" s="760" t="s">
        <v>1426</v>
      </c>
      <c r="C95" s="1163">
        <v>12009</v>
      </c>
      <c r="D95" s="836">
        <f t="shared" si="13"/>
        <v>1.2009E-6</v>
      </c>
      <c r="E95" s="1163">
        <v>12009</v>
      </c>
      <c r="F95" s="836">
        <f t="shared" si="14"/>
        <v>1.0007499999999999E-6</v>
      </c>
      <c r="G95" s="837">
        <f t="shared" si="9"/>
        <v>0</v>
      </c>
      <c r="H95" s="836">
        <f t="shared" si="10"/>
        <v>0</v>
      </c>
      <c r="I95" s="1166"/>
      <c r="J95" s="1163">
        <v>12009</v>
      </c>
      <c r="K95" s="1163"/>
      <c r="L95" s="1163"/>
      <c r="M95" s="837">
        <f t="shared" si="11"/>
        <v>12009</v>
      </c>
      <c r="N95" s="1163">
        <v>12009</v>
      </c>
      <c r="O95" s="836">
        <f t="shared" si="15"/>
        <v>1</v>
      </c>
      <c r="P95" s="1163">
        <v>12009</v>
      </c>
      <c r="Q95" s="836">
        <f t="shared" si="16"/>
        <v>1</v>
      </c>
      <c r="R95" s="958"/>
      <c r="S95" s="1168"/>
      <c r="AT95" s="732" t="str">
        <f t="shared" si="12"/>
        <v>423-INVERSIÓN</v>
      </c>
    </row>
    <row r="96" spans="1:46" ht="15" x14ac:dyDescent="0.25">
      <c r="A96" s="869">
        <v>42301</v>
      </c>
      <c r="B96" s="843" t="s">
        <v>1428</v>
      </c>
      <c r="C96" s="1164">
        <v>12010</v>
      </c>
      <c r="D96" s="839">
        <f t="shared" si="13"/>
        <v>1.201E-6</v>
      </c>
      <c r="E96" s="1164">
        <v>12010</v>
      </c>
      <c r="F96" s="839">
        <f t="shared" si="14"/>
        <v>1.0008333333333334E-6</v>
      </c>
      <c r="G96" s="840">
        <f t="shared" si="9"/>
        <v>0</v>
      </c>
      <c r="H96" s="839">
        <f t="shared" si="10"/>
        <v>0</v>
      </c>
      <c r="I96" s="1167"/>
      <c r="J96" s="1164">
        <v>12010</v>
      </c>
      <c r="K96" s="1164"/>
      <c r="L96" s="1164"/>
      <c r="M96" s="840">
        <f t="shared" si="11"/>
        <v>12010</v>
      </c>
      <c r="N96" s="1164">
        <v>12010</v>
      </c>
      <c r="O96" s="839">
        <f t="shared" si="15"/>
        <v>1</v>
      </c>
      <c r="P96" s="1164">
        <v>12010</v>
      </c>
      <c r="Q96" s="839">
        <f t="shared" si="16"/>
        <v>1</v>
      </c>
      <c r="R96" s="958"/>
      <c r="S96" s="1169"/>
      <c r="AT96" s="293" t="str">
        <f t="shared" si="12"/>
        <v>42301-Directa</v>
      </c>
    </row>
    <row r="97" spans="1:46" ht="15" x14ac:dyDescent="0.25">
      <c r="A97" s="869">
        <v>4233</v>
      </c>
      <c r="B97" s="843" t="s">
        <v>1401</v>
      </c>
      <c r="C97" s="1164">
        <v>12011</v>
      </c>
      <c r="D97" s="839">
        <f t="shared" si="13"/>
        <v>1.2011E-6</v>
      </c>
      <c r="E97" s="1164">
        <v>12011</v>
      </c>
      <c r="F97" s="839">
        <f t="shared" si="14"/>
        <v>1.0009166666666667E-6</v>
      </c>
      <c r="G97" s="840">
        <f t="shared" si="9"/>
        <v>0</v>
      </c>
      <c r="H97" s="839">
        <f t="shared" si="10"/>
        <v>0</v>
      </c>
      <c r="I97" s="1167"/>
      <c r="J97" s="1164">
        <v>12011</v>
      </c>
      <c r="K97" s="1164"/>
      <c r="L97" s="1164"/>
      <c r="M97" s="840">
        <f t="shared" si="11"/>
        <v>12011</v>
      </c>
      <c r="N97" s="1164">
        <v>12011</v>
      </c>
      <c r="O97" s="839">
        <f t="shared" si="15"/>
        <v>1</v>
      </c>
      <c r="P97" s="1164">
        <v>12011</v>
      </c>
      <c r="Q97" s="839">
        <f t="shared" si="16"/>
        <v>1</v>
      </c>
      <c r="R97" s="958"/>
      <c r="S97" s="1169"/>
      <c r="AT97" s="293" t="str">
        <f t="shared" si="12"/>
        <v>4233-Transferencias CORRIENTES</v>
      </c>
    </row>
    <row r="98" spans="1:46" ht="15" x14ac:dyDescent="0.25">
      <c r="A98" s="869">
        <v>423301</v>
      </c>
      <c r="B98" s="843" t="s">
        <v>1431</v>
      </c>
      <c r="C98" s="1164">
        <v>12012</v>
      </c>
      <c r="D98" s="839">
        <f t="shared" si="13"/>
        <v>1.2012E-6</v>
      </c>
      <c r="E98" s="1164">
        <v>12012</v>
      </c>
      <c r="F98" s="839">
        <f t="shared" si="14"/>
        <v>1.001E-6</v>
      </c>
      <c r="G98" s="840">
        <f t="shared" si="9"/>
        <v>0</v>
      </c>
      <c r="H98" s="839">
        <f t="shared" si="10"/>
        <v>0</v>
      </c>
      <c r="I98" s="1167"/>
      <c r="J98" s="1164">
        <v>12012</v>
      </c>
      <c r="K98" s="1164"/>
      <c r="L98" s="1164"/>
      <c r="M98" s="840">
        <f t="shared" si="11"/>
        <v>12012</v>
      </c>
      <c r="N98" s="1164">
        <v>12012</v>
      </c>
      <c r="O98" s="839">
        <f t="shared" si="15"/>
        <v>1</v>
      </c>
      <c r="P98" s="1164">
        <v>12012</v>
      </c>
      <c r="Q98" s="839">
        <f t="shared" si="16"/>
        <v>1</v>
      </c>
      <c r="R98" s="958"/>
      <c r="S98" s="1169"/>
      <c r="AT98" s="293" t="str">
        <f t="shared" si="12"/>
        <v>423301-Subvenciones</v>
      </c>
    </row>
    <row r="99" spans="1:46" ht="15" x14ac:dyDescent="0.25">
      <c r="A99" s="869">
        <v>423302</v>
      </c>
      <c r="B99" s="843" t="s">
        <v>1433</v>
      </c>
      <c r="C99" s="1164">
        <v>12013</v>
      </c>
      <c r="D99" s="839">
        <f t="shared" si="13"/>
        <v>1.2013E-6</v>
      </c>
      <c r="E99" s="1164">
        <v>12013</v>
      </c>
      <c r="F99" s="839">
        <f t="shared" si="14"/>
        <v>1.0010833333333333E-6</v>
      </c>
      <c r="G99" s="840">
        <f t="shared" si="9"/>
        <v>0</v>
      </c>
      <c r="H99" s="839">
        <f t="shared" si="10"/>
        <v>0</v>
      </c>
      <c r="I99" s="1167"/>
      <c r="J99" s="1164">
        <v>12013</v>
      </c>
      <c r="K99" s="1164"/>
      <c r="L99" s="1164"/>
      <c r="M99" s="840">
        <f t="shared" si="11"/>
        <v>12013</v>
      </c>
      <c r="N99" s="1164">
        <v>12013</v>
      </c>
      <c r="O99" s="839">
        <f t="shared" si="15"/>
        <v>1</v>
      </c>
      <c r="P99" s="1164">
        <v>12013</v>
      </c>
      <c r="Q99" s="839">
        <f t="shared" si="16"/>
        <v>1</v>
      </c>
      <c r="R99" s="958"/>
      <c r="S99" s="1169"/>
      <c r="AT99" s="293" t="str">
        <f t="shared" si="12"/>
        <v>423302-A empresas diferentes de subvenciones</v>
      </c>
    </row>
    <row r="100" spans="1:46" ht="15" x14ac:dyDescent="0.25">
      <c r="A100" s="869">
        <v>423305</v>
      </c>
      <c r="B100" s="843" t="s">
        <v>1405</v>
      </c>
      <c r="C100" s="1164">
        <v>12014</v>
      </c>
      <c r="D100" s="839">
        <f t="shared" si="13"/>
        <v>1.2014000000000001E-6</v>
      </c>
      <c r="E100" s="1164">
        <v>12014</v>
      </c>
      <c r="F100" s="839">
        <f t="shared" si="14"/>
        <v>1.0011666666666666E-6</v>
      </c>
      <c r="G100" s="840">
        <f t="shared" si="9"/>
        <v>0</v>
      </c>
      <c r="H100" s="839">
        <f t="shared" si="10"/>
        <v>0</v>
      </c>
      <c r="I100" s="1167"/>
      <c r="J100" s="1164">
        <v>12014</v>
      </c>
      <c r="K100" s="1164"/>
      <c r="L100" s="1164"/>
      <c r="M100" s="840">
        <f t="shared" si="11"/>
        <v>12014</v>
      </c>
      <c r="N100" s="1164">
        <v>12014</v>
      </c>
      <c r="O100" s="839">
        <f t="shared" si="15"/>
        <v>1</v>
      </c>
      <c r="P100" s="1164">
        <v>12014</v>
      </c>
      <c r="Q100" s="839">
        <f t="shared" si="16"/>
        <v>1</v>
      </c>
      <c r="R100" s="958"/>
      <c r="S100" s="1169"/>
      <c r="AT100" s="293" t="str">
        <f t="shared" si="12"/>
        <v>423305-A entidades del gobierno</v>
      </c>
    </row>
    <row r="101" spans="1:46" ht="15" x14ac:dyDescent="0.25">
      <c r="A101" s="869">
        <v>423307</v>
      </c>
      <c r="B101" s="843" t="s">
        <v>1438</v>
      </c>
      <c r="C101" s="1164">
        <v>12015</v>
      </c>
      <c r="D101" s="839">
        <f t="shared" si="13"/>
        <v>1.2015000000000001E-6</v>
      </c>
      <c r="E101" s="1164">
        <v>12015</v>
      </c>
      <c r="F101" s="839">
        <f t="shared" si="14"/>
        <v>1.0012499999999999E-6</v>
      </c>
      <c r="G101" s="840">
        <f t="shared" si="9"/>
        <v>0</v>
      </c>
      <c r="H101" s="839">
        <f t="shared" si="10"/>
        <v>0</v>
      </c>
      <c r="I101" s="1167"/>
      <c r="J101" s="1164">
        <v>12015</v>
      </c>
      <c r="K101" s="1164"/>
      <c r="L101" s="1164"/>
      <c r="M101" s="840">
        <f t="shared" si="11"/>
        <v>12015</v>
      </c>
      <c r="N101" s="1164">
        <v>12015</v>
      </c>
      <c r="O101" s="839">
        <f t="shared" si="15"/>
        <v>1</v>
      </c>
      <c r="P101" s="1164">
        <v>12015</v>
      </c>
      <c r="Q101" s="839">
        <f t="shared" si="16"/>
        <v>1</v>
      </c>
      <c r="R101" s="958"/>
      <c r="S101" s="1169"/>
      <c r="AT101" s="293" t="str">
        <f t="shared" si="12"/>
        <v>423307-Prestaciones para cubrir riesgos sociales</v>
      </c>
    </row>
    <row r="102" spans="1:46" ht="15" x14ac:dyDescent="0.25">
      <c r="A102" s="869">
        <v>423313</v>
      </c>
      <c r="B102" s="843" t="s">
        <v>1441</v>
      </c>
      <c r="C102" s="1164">
        <v>12016</v>
      </c>
      <c r="D102" s="839">
        <f t="shared" si="13"/>
        <v>1.2016000000000001E-6</v>
      </c>
      <c r="E102" s="1164">
        <v>12016</v>
      </c>
      <c r="F102" s="839">
        <f t="shared" si="14"/>
        <v>1.0013333333333332E-6</v>
      </c>
      <c r="G102" s="840">
        <f t="shared" si="9"/>
        <v>0</v>
      </c>
      <c r="H102" s="839">
        <f t="shared" si="10"/>
        <v>0</v>
      </c>
      <c r="I102" s="1167"/>
      <c r="J102" s="1164">
        <v>12016</v>
      </c>
      <c r="K102" s="1164"/>
      <c r="L102" s="1164"/>
      <c r="M102" s="840">
        <f t="shared" si="11"/>
        <v>12016</v>
      </c>
      <c r="N102" s="1164">
        <v>12016</v>
      </c>
      <c r="O102" s="839">
        <f t="shared" si="15"/>
        <v>1</v>
      </c>
      <c r="P102" s="1164">
        <v>12016</v>
      </c>
      <c r="Q102" s="839">
        <f t="shared" si="16"/>
        <v>1</v>
      </c>
      <c r="R102" s="958"/>
      <c r="S102" s="1169"/>
      <c r="AT102" s="293" t="str">
        <f t="shared" si="12"/>
        <v>423313-Sentencias y conciliaciones</v>
      </c>
    </row>
    <row r="103" spans="1:46" ht="15" x14ac:dyDescent="0.25">
      <c r="A103" s="869">
        <v>4234</v>
      </c>
      <c r="B103" s="843" t="s">
        <v>1444</v>
      </c>
      <c r="C103" s="1164">
        <v>12017</v>
      </c>
      <c r="D103" s="839">
        <f t="shared" si="13"/>
        <v>1.2017000000000001E-6</v>
      </c>
      <c r="E103" s="1164">
        <v>12017</v>
      </c>
      <c r="F103" s="839">
        <f t="shared" si="14"/>
        <v>1.0014166666666668E-6</v>
      </c>
      <c r="G103" s="840">
        <f t="shared" si="9"/>
        <v>0</v>
      </c>
      <c r="H103" s="839">
        <f t="shared" si="10"/>
        <v>0</v>
      </c>
      <c r="I103" s="1167"/>
      <c r="J103" s="1164">
        <v>12017</v>
      </c>
      <c r="K103" s="1164"/>
      <c r="L103" s="1164"/>
      <c r="M103" s="840">
        <f t="shared" si="11"/>
        <v>12017</v>
      </c>
      <c r="N103" s="1164">
        <v>12017</v>
      </c>
      <c r="O103" s="839">
        <f t="shared" si="15"/>
        <v>1</v>
      </c>
      <c r="P103" s="1164">
        <v>12017</v>
      </c>
      <c r="Q103" s="839">
        <f t="shared" si="16"/>
        <v>1</v>
      </c>
      <c r="R103" s="958"/>
      <c r="S103" s="1169"/>
      <c r="AT103" s="293" t="str">
        <f t="shared" si="12"/>
        <v>4234-Transferencias para INVERSIÓN</v>
      </c>
    </row>
    <row r="104" spans="1:46" ht="15" x14ac:dyDescent="0.25">
      <c r="A104" s="869">
        <v>423401</v>
      </c>
      <c r="B104" s="843" t="s">
        <v>1447</v>
      </c>
      <c r="C104" s="1164">
        <v>12018</v>
      </c>
      <c r="D104" s="839">
        <f t="shared" si="13"/>
        <v>1.2018000000000001E-6</v>
      </c>
      <c r="E104" s="1164">
        <v>12018</v>
      </c>
      <c r="F104" s="839">
        <f t="shared" si="14"/>
        <v>1.0015000000000001E-6</v>
      </c>
      <c r="G104" s="840">
        <f t="shared" si="9"/>
        <v>0</v>
      </c>
      <c r="H104" s="839">
        <f t="shared" si="10"/>
        <v>0</v>
      </c>
      <c r="I104" s="1167"/>
      <c r="J104" s="1164">
        <v>12018</v>
      </c>
      <c r="K104" s="1164"/>
      <c r="L104" s="1164"/>
      <c r="M104" s="840">
        <f t="shared" si="11"/>
        <v>12018</v>
      </c>
      <c r="N104" s="1164">
        <v>12018</v>
      </c>
      <c r="O104" s="839">
        <f t="shared" si="15"/>
        <v>1</v>
      </c>
      <c r="P104" s="1164">
        <v>12018</v>
      </c>
      <c r="Q104" s="839">
        <f t="shared" si="16"/>
        <v>1</v>
      </c>
      <c r="R104" s="958"/>
      <c r="S104" s="1169"/>
      <c r="AT104" s="293" t="str">
        <f t="shared" si="12"/>
        <v>423401-Transferencia Distrital</v>
      </c>
    </row>
    <row r="105" spans="1:46" s="736" customFormat="1" ht="15" x14ac:dyDescent="0.25">
      <c r="A105" s="870">
        <v>44</v>
      </c>
      <c r="B105" s="760" t="s">
        <v>1451</v>
      </c>
      <c r="C105" s="1163">
        <v>12019</v>
      </c>
      <c r="D105" s="836">
        <f t="shared" si="13"/>
        <v>1.2019000000000001E-6</v>
      </c>
      <c r="E105" s="1163">
        <v>12019</v>
      </c>
      <c r="F105" s="836">
        <f t="shared" si="14"/>
        <v>1.0015833333333334E-6</v>
      </c>
      <c r="G105" s="837">
        <f t="shared" si="9"/>
        <v>0</v>
      </c>
      <c r="H105" s="836">
        <f t="shared" si="10"/>
        <v>0</v>
      </c>
      <c r="I105" s="1166"/>
      <c r="J105" s="1163">
        <v>12019</v>
      </c>
      <c r="K105" s="1163"/>
      <c r="L105" s="1163"/>
      <c r="M105" s="837">
        <f t="shared" si="11"/>
        <v>12019</v>
      </c>
      <c r="N105" s="1163">
        <v>12019</v>
      </c>
      <c r="O105" s="836">
        <f t="shared" si="15"/>
        <v>1</v>
      </c>
      <c r="P105" s="1163">
        <v>12019</v>
      </c>
      <c r="Q105" s="836">
        <f t="shared" si="16"/>
        <v>1</v>
      </c>
      <c r="R105" s="958"/>
      <c r="S105" s="1168"/>
      <c r="AT105" s="732" t="str">
        <f t="shared" si="12"/>
        <v>44-DISPONIBILIDAD FINAL</v>
      </c>
    </row>
    <row r="106" spans="1:46" s="736" customFormat="1" ht="15" x14ac:dyDescent="0.25">
      <c r="A106" s="870"/>
      <c r="B106" s="760"/>
      <c r="C106" s="1413"/>
      <c r="D106" s="836" t="str">
        <f t="shared" si="13"/>
        <v/>
      </c>
      <c r="E106" s="1413"/>
      <c r="F106" s="836" t="str">
        <f t="shared" si="14"/>
        <v/>
      </c>
      <c r="G106" s="837" t="str">
        <f t="shared" si="9"/>
        <v/>
      </c>
      <c r="H106" s="836" t="e">
        <f t="shared" si="10"/>
        <v>#VALUE!</v>
      </c>
      <c r="I106" s="1414"/>
      <c r="J106" s="1413"/>
      <c r="K106" s="1413"/>
      <c r="L106" s="1413"/>
      <c r="M106" s="837" t="str">
        <f t="shared" si="11"/>
        <v/>
      </c>
      <c r="N106" s="1413"/>
      <c r="O106" s="836" t="str">
        <f t="shared" si="15"/>
        <v/>
      </c>
      <c r="P106" s="1413"/>
      <c r="Q106" s="836" t="str">
        <f t="shared" si="16"/>
        <v/>
      </c>
      <c r="R106" s="958"/>
      <c r="S106" s="1415"/>
      <c r="AT106" s="732"/>
    </row>
    <row r="107" spans="1:46" s="736" customFormat="1" ht="15" x14ac:dyDescent="0.25">
      <c r="A107" s="870"/>
      <c r="B107" s="760"/>
      <c r="C107" s="1413"/>
      <c r="D107" s="836" t="str">
        <f t="shared" si="13"/>
        <v/>
      </c>
      <c r="E107" s="1413"/>
      <c r="F107" s="836" t="str">
        <f t="shared" si="14"/>
        <v/>
      </c>
      <c r="G107" s="837" t="str">
        <f t="shared" si="9"/>
        <v/>
      </c>
      <c r="H107" s="836" t="e">
        <f t="shared" si="10"/>
        <v>#VALUE!</v>
      </c>
      <c r="I107" s="1414"/>
      <c r="J107" s="1413"/>
      <c r="K107" s="1413"/>
      <c r="L107" s="1413"/>
      <c r="M107" s="837" t="str">
        <f t="shared" si="11"/>
        <v/>
      </c>
      <c r="N107" s="1413"/>
      <c r="O107" s="836" t="str">
        <f t="shared" si="15"/>
        <v/>
      </c>
      <c r="P107" s="1413"/>
      <c r="Q107" s="836" t="str">
        <f t="shared" si="16"/>
        <v/>
      </c>
      <c r="R107" s="958"/>
      <c r="S107" s="1415"/>
      <c r="AT107" s="732"/>
    </row>
    <row r="108" spans="1:46" s="736" customFormat="1" ht="15" x14ac:dyDescent="0.25">
      <c r="A108" s="870"/>
      <c r="B108" s="760"/>
      <c r="C108" s="1413"/>
      <c r="D108" s="836" t="str">
        <f t="shared" si="13"/>
        <v/>
      </c>
      <c r="E108" s="1413"/>
      <c r="F108" s="836" t="str">
        <f t="shared" si="14"/>
        <v/>
      </c>
      <c r="G108" s="837" t="str">
        <f t="shared" si="9"/>
        <v/>
      </c>
      <c r="H108" s="836" t="e">
        <f t="shared" si="10"/>
        <v>#VALUE!</v>
      </c>
      <c r="I108" s="1414"/>
      <c r="J108" s="1413"/>
      <c r="K108" s="1413"/>
      <c r="L108" s="1413"/>
      <c r="M108" s="837" t="str">
        <f t="shared" si="11"/>
        <v/>
      </c>
      <c r="N108" s="1413"/>
      <c r="O108" s="836" t="str">
        <f t="shared" si="15"/>
        <v/>
      </c>
      <c r="P108" s="1413"/>
      <c r="Q108" s="836" t="str">
        <f t="shared" si="16"/>
        <v/>
      </c>
      <c r="R108" s="958"/>
      <c r="S108" s="1415"/>
      <c r="AT108" s="732"/>
    </row>
    <row r="109" spans="1:46" s="736" customFormat="1" ht="15" x14ac:dyDescent="0.25">
      <c r="A109" s="870"/>
      <c r="B109" s="760"/>
      <c r="C109" s="1413"/>
      <c r="D109" s="836" t="str">
        <f t="shared" si="13"/>
        <v/>
      </c>
      <c r="E109" s="1413"/>
      <c r="F109" s="836" t="str">
        <f t="shared" si="14"/>
        <v/>
      </c>
      <c r="G109" s="837" t="str">
        <f t="shared" si="9"/>
        <v/>
      </c>
      <c r="H109" s="836" t="e">
        <f t="shared" si="10"/>
        <v>#VALUE!</v>
      </c>
      <c r="I109" s="1414"/>
      <c r="J109" s="1413"/>
      <c r="K109" s="1413"/>
      <c r="L109" s="1413"/>
      <c r="M109" s="837" t="str">
        <f t="shared" si="11"/>
        <v/>
      </c>
      <c r="N109" s="1413"/>
      <c r="O109" s="836" t="str">
        <f t="shared" si="15"/>
        <v/>
      </c>
      <c r="P109" s="1413"/>
      <c r="Q109" s="836" t="str">
        <f t="shared" si="16"/>
        <v/>
      </c>
      <c r="R109" s="958"/>
      <c r="S109" s="1415"/>
      <c r="AT109" s="732"/>
    </row>
    <row r="110" spans="1:46" s="736" customFormat="1" ht="15" x14ac:dyDescent="0.25">
      <c r="A110" s="870"/>
      <c r="B110" s="760"/>
      <c r="C110" s="1413"/>
      <c r="D110" s="836" t="str">
        <f t="shared" si="13"/>
        <v/>
      </c>
      <c r="E110" s="1413"/>
      <c r="F110" s="836" t="str">
        <f t="shared" si="14"/>
        <v/>
      </c>
      <c r="G110" s="837" t="str">
        <f t="shared" si="9"/>
        <v/>
      </c>
      <c r="H110" s="836" t="e">
        <f t="shared" si="10"/>
        <v>#VALUE!</v>
      </c>
      <c r="I110" s="1414"/>
      <c r="J110" s="1413"/>
      <c r="K110" s="1413"/>
      <c r="L110" s="1413"/>
      <c r="M110" s="837" t="str">
        <f t="shared" si="11"/>
        <v/>
      </c>
      <c r="N110" s="1413"/>
      <c r="O110" s="836" t="str">
        <f t="shared" si="15"/>
        <v/>
      </c>
      <c r="P110" s="1413"/>
      <c r="Q110" s="836" t="str">
        <f t="shared" si="16"/>
        <v/>
      </c>
      <c r="R110" s="958"/>
      <c r="S110" s="1415"/>
      <c r="AT110" s="732"/>
    </row>
    <row r="111" spans="1:46" s="736" customFormat="1" ht="15" x14ac:dyDescent="0.25">
      <c r="A111" s="870"/>
      <c r="B111" s="760"/>
      <c r="C111" s="1413"/>
      <c r="D111" s="836" t="str">
        <f t="shared" si="13"/>
        <v/>
      </c>
      <c r="E111" s="1413"/>
      <c r="F111" s="836" t="str">
        <f t="shared" si="14"/>
        <v/>
      </c>
      <c r="G111" s="837" t="str">
        <f t="shared" si="9"/>
        <v/>
      </c>
      <c r="H111" s="836" t="e">
        <f t="shared" si="10"/>
        <v>#VALUE!</v>
      </c>
      <c r="I111" s="1414"/>
      <c r="J111" s="1413"/>
      <c r="K111" s="1413"/>
      <c r="L111" s="1413"/>
      <c r="M111" s="837" t="str">
        <f t="shared" si="11"/>
        <v/>
      </c>
      <c r="N111" s="1413"/>
      <c r="O111" s="836" t="str">
        <f t="shared" si="15"/>
        <v/>
      </c>
      <c r="P111" s="1413"/>
      <c r="Q111" s="836" t="str">
        <f t="shared" si="16"/>
        <v/>
      </c>
      <c r="R111" s="958"/>
      <c r="S111" s="1415"/>
      <c r="AT111" s="732"/>
    </row>
    <row r="112" spans="1:46" s="736" customFormat="1" ht="15" x14ac:dyDescent="0.25">
      <c r="A112" s="870"/>
      <c r="B112" s="760"/>
      <c r="C112" s="1413"/>
      <c r="D112" s="836" t="str">
        <f t="shared" si="13"/>
        <v/>
      </c>
      <c r="E112" s="1413"/>
      <c r="F112" s="836" t="str">
        <f t="shared" si="14"/>
        <v/>
      </c>
      <c r="G112" s="837" t="str">
        <f t="shared" si="9"/>
        <v/>
      </c>
      <c r="H112" s="836" t="e">
        <f t="shared" si="10"/>
        <v>#VALUE!</v>
      </c>
      <c r="I112" s="1414"/>
      <c r="J112" s="1413"/>
      <c r="K112" s="1413"/>
      <c r="L112" s="1413"/>
      <c r="M112" s="837" t="str">
        <f t="shared" si="11"/>
        <v/>
      </c>
      <c r="N112" s="1413"/>
      <c r="O112" s="836" t="str">
        <f t="shared" si="15"/>
        <v/>
      </c>
      <c r="P112" s="1413"/>
      <c r="Q112" s="836" t="str">
        <f t="shared" si="16"/>
        <v/>
      </c>
      <c r="R112" s="958"/>
      <c r="S112" s="1415"/>
      <c r="AT112" s="732"/>
    </row>
    <row r="113" spans="1:46" s="736" customFormat="1" ht="15" x14ac:dyDescent="0.25">
      <c r="A113" s="870"/>
      <c r="B113" s="760"/>
      <c r="C113" s="1413"/>
      <c r="D113" s="836" t="str">
        <f t="shared" si="13"/>
        <v/>
      </c>
      <c r="E113" s="1413"/>
      <c r="F113" s="836" t="str">
        <f t="shared" si="14"/>
        <v/>
      </c>
      <c r="G113" s="837" t="str">
        <f t="shared" si="9"/>
        <v/>
      </c>
      <c r="H113" s="836" t="e">
        <f t="shared" si="10"/>
        <v>#VALUE!</v>
      </c>
      <c r="I113" s="1414"/>
      <c r="J113" s="1413"/>
      <c r="K113" s="1413"/>
      <c r="L113" s="1413"/>
      <c r="M113" s="837" t="str">
        <f t="shared" si="11"/>
        <v/>
      </c>
      <c r="N113" s="1413"/>
      <c r="O113" s="836" t="str">
        <f t="shared" si="15"/>
        <v/>
      </c>
      <c r="P113" s="1413"/>
      <c r="Q113" s="836" t="str">
        <f t="shared" si="16"/>
        <v/>
      </c>
      <c r="R113" s="958"/>
      <c r="S113" s="1415"/>
      <c r="AT113" s="732"/>
    </row>
    <row r="114" spans="1:46" s="736" customFormat="1" ht="15" x14ac:dyDescent="0.25">
      <c r="A114" s="870"/>
      <c r="B114" s="760"/>
      <c r="C114" s="1413"/>
      <c r="D114" s="836" t="str">
        <f t="shared" si="13"/>
        <v/>
      </c>
      <c r="E114" s="1413"/>
      <c r="F114" s="836" t="str">
        <f t="shared" si="14"/>
        <v/>
      </c>
      <c r="G114" s="837" t="str">
        <f t="shared" si="9"/>
        <v/>
      </c>
      <c r="H114" s="836" t="e">
        <f t="shared" si="10"/>
        <v>#VALUE!</v>
      </c>
      <c r="I114" s="1414"/>
      <c r="J114" s="1413"/>
      <c r="K114" s="1413"/>
      <c r="L114" s="1413"/>
      <c r="M114" s="837" t="str">
        <f t="shared" si="11"/>
        <v/>
      </c>
      <c r="N114" s="1413"/>
      <c r="O114" s="836" t="str">
        <f t="shared" si="15"/>
        <v/>
      </c>
      <c r="P114" s="1413"/>
      <c r="Q114" s="836" t="str">
        <f t="shared" si="16"/>
        <v/>
      </c>
      <c r="R114" s="958"/>
      <c r="S114" s="1415"/>
      <c r="AT114" s="732"/>
    </row>
    <row r="115" spans="1:46" s="736" customFormat="1" ht="15" x14ac:dyDescent="0.25">
      <c r="A115" s="870"/>
      <c r="B115" s="760"/>
      <c r="C115" s="1413"/>
      <c r="D115" s="836" t="str">
        <f t="shared" si="13"/>
        <v/>
      </c>
      <c r="E115" s="1413"/>
      <c r="F115" s="836" t="str">
        <f t="shared" si="14"/>
        <v/>
      </c>
      <c r="G115" s="837" t="str">
        <f t="shared" si="9"/>
        <v/>
      </c>
      <c r="H115" s="836" t="e">
        <f t="shared" si="10"/>
        <v>#VALUE!</v>
      </c>
      <c r="I115" s="1414"/>
      <c r="J115" s="1413"/>
      <c r="K115" s="1413"/>
      <c r="L115" s="1413"/>
      <c r="M115" s="837" t="str">
        <f t="shared" si="11"/>
        <v/>
      </c>
      <c r="N115" s="1413"/>
      <c r="O115" s="836" t="str">
        <f t="shared" si="15"/>
        <v/>
      </c>
      <c r="P115" s="1413"/>
      <c r="Q115" s="836" t="str">
        <f t="shared" si="16"/>
        <v/>
      </c>
      <c r="R115" s="958"/>
      <c r="S115" s="1415"/>
      <c r="AT115" s="732"/>
    </row>
    <row r="116" spans="1:46" s="736" customFormat="1" ht="15" x14ac:dyDescent="0.25">
      <c r="A116" s="870"/>
      <c r="B116" s="760"/>
      <c r="C116" s="1413"/>
      <c r="D116" s="836" t="str">
        <f t="shared" si="13"/>
        <v/>
      </c>
      <c r="E116" s="1413"/>
      <c r="F116" s="836" t="str">
        <f t="shared" si="14"/>
        <v/>
      </c>
      <c r="G116" s="837" t="str">
        <f t="shared" si="9"/>
        <v/>
      </c>
      <c r="H116" s="836" t="e">
        <f t="shared" si="10"/>
        <v>#VALUE!</v>
      </c>
      <c r="I116" s="1414"/>
      <c r="J116" s="1413"/>
      <c r="K116" s="1413"/>
      <c r="L116" s="1413"/>
      <c r="M116" s="837" t="str">
        <f t="shared" si="11"/>
        <v/>
      </c>
      <c r="N116" s="1413"/>
      <c r="O116" s="836" t="str">
        <f t="shared" si="15"/>
        <v/>
      </c>
      <c r="P116" s="1413"/>
      <c r="Q116" s="836" t="str">
        <f t="shared" si="16"/>
        <v/>
      </c>
      <c r="R116" s="958"/>
      <c r="S116" s="1415"/>
      <c r="AT116" s="732"/>
    </row>
    <row r="117" spans="1:46" s="736" customFormat="1" ht="15" x14ac:dyDescent="0.25">
      <c r="A117" s="870"/>
      <c r="B117" s="760"/>
      <c r="C117" s="1413"/>
      <c r="D117" s="836" t="str">
        <f t="shared" si="13"/>
        <v/>
      </c>
      <c r="E117" s="1413"/>
      <c r="F117" s="836" t="str">
        <f t="shared" si="14"/>
        <v/>
      </c>
      <c r="G117" s="837" t="str">
        <f t="shared" si="9"/>
        <v/>
      </c>
      <c r="H117" s="836" t="e">
        <f t="shared" si="10"/>
        <v>#VALUE!</v>
      </c>
      <c r="I117" s="1414"/>
      <c r="J117" s="1413"/>
      <c r="K117" s="1413"/>
      <c r="L117" s="1413"/>
      <c r="M117" s="837" t="str">
        <f t="shared" si="11"/>
        <v/>
      </c>
      <c r="N117" s="1413"/>
      <c r="O117" s="836" t="str">
        <f t="shared" si="15"/>
        <v/>
      </c>
      <c r="P117" s="1413"/>
      <c r="Q117" s="836" t="str">
        <f t="shared" si="16"/>
        <v/>
      </c>
      <c r="R117" s="958"/>
      <c r="S117" s="1415"/>
      <c r="AT117" s="732"/>
    </row>
    <row r="118" spans="1:46" s="736" customFormat="1" ht="15" x14ac:dyDescent="0.25">
      <c r="A118" s="870"/>
      <c r="B118" s="760"/>
      <c r="C118" s="1413"/>
      <c r="D118" s="836" t="str">
        <f t="shared" si="13"/>
        <v/>
      </c>
      <c r="E118" s="1413"/>
      <c r="F118" s="836" t="str">
        <f t="shared" si="14"/>
        <v/>
      </c>
      <c r="G118" s="837" t="str">
        <f t="shared" si="9"/>
        <v/>
      </c>
      <c r="H118" s="836" t="e">
        <f t="shared" si="10"/>
        <v>#VALUE!</v>
      </c>
      <c r="I118" s="1414"/>
      <c r="J118" s="1413"/>
      <c r="K118" s="1413"/>
      <c r="L118" s="1413"/>
      <c r="M118" s="837" t="str">
        <f t="shared" si="11"/>
        <v/>
      </c>
      <c r="N118" s="1413"/>
      <c r="O118" s="836" t="str">
        <f t="shared" si="15"/>
        <v/>
      </c>
      <c r="P118" s="1413"/>
      <c r="Q118" s="836" t="str">
        <f t="shared" si="16"/>
        <v/>
      </c>
      <c r="R118" s="958"/>
      <c r="S118" s="1415"/>
      <c r="AT118" s="732"/>
    </row>
    <row r="119" spans="1:46" s="736" customFormat="1" ht="15" x14ac:dyDescent="0.25">
      <c r="A119" s="870"/>
      <c r="B119" s="760"/>
      <c r="C119" s="1413"/>
      <c r="D119" s="836" t="str">
        <f t="shared" si="13"/>
        <v/>
      </c>
      <c r="E119" s="1413"/>
      <c r="F119" s="836" t="str">
        <f t="shared" si="14"/>
        <v/>
      </c>
      <c r="G119" s="837" t="str">
        <f t="shared" si="9"/>
        <v/>
      </c>
      <c r="H119" s="836" t="e">
        <f t="shared" si="10"/>
        <v>#VALUE!</v>
      </c>
      <c r="I119" s="1414"/>
      <c r="J119" s="1413"/>
      <c r="K119" s="1413"/>
      <c r="L119" s="1413"/>
      <c r="M119" s="837" t="str">
        <f t="shared" si="11"/>
        <v/>
      </c>
      <c r="N119" s="1413"/>
      <c r="O119" s="836" t="str">
        <f t="shared" si="15"/>
        <v/>
      </c>
      <c r="P119" s="1413"/>
      <c r="Q119" s="836" t="str">
        <f t="shared" si="16"/>
        <v/>
      </c>
      <c r="R119" s="958"/>
      <c r="S119" s="1415"/>
      <c r="AT119" s="732"/>
    </row>
    <row r="120" spans="1:46" s="736" customFormat="1" ht="15" x14ac:dyDescent="0.25">
      <c r="A120" s="870"/>
      <c r="B120" s="760"/>
      <c r="C120" s="1413"/>
      <c r="D120" s="836" t="str">
        <f t="shared" si="13"/>
        <v/>
      </c>
      <c r="E120" s="1413"/>
      <c r="F120" s="836" t="str">
        <f t="shared" si="14"/>
        <v/>
      </c>
      <c r="G120" s="837" t="str">
        <f t="shared" si="9"/>
        <v/>
      </c>
      <c r="H120" s="836" t="e">
        <f t="shared" si="10"/>
        <v>#VALUE!</v>
      </c>
      <c r="I120" s="1414"/>
      <c r="J120" s="1413"/>
      <c r="K120" s="1413"/>
      <c r="L120" s="1413"/>
      <c r="M120" s="837" t="str">
        <f t="shared" si="11"/>
        <v/>
      </c>
      <c r="N120" s="1413"/>
      <c r="O120" s="836" t="str">
        <f t="shared" si="15"/>
        <v/>
      </c>
      <c r="P120" s="1413"/>
      <c r="Q120" s="836" t="str">
        <f t="shared" si="16"/>
        <v/>
      </c>
      <c r="R120" s="958"/>
      <c r="S120" s="1415"/>
      <c r="AT120" s="732"/>
    </row>
    <row r="121" spans="1:46" s="736" customFormat="1" ht="15" x14ac:dyDescent="0.25">
      <c r="A121" s="870"/>
      <c r="B121" s="760"/>
      <c r="C121" s="1413"/>
      <c r="D121" s="836" t="str">
        <f t="shared" si="13"/>
        <v/>
      </c>
      <c r="E121" s="1413"/>
      <c r="F121" s="836" t="str">
        <f t="shared" si="14"/>
        <v/>
      </c>
      <c r="G121" s="837" t="str">
        <f t="shared" si="9"/>
        <v/>
      </c>
      <c r="H121" s="836" t="e">
        <f t="shared" si="10"/>
        <v>#VALUE!</v>
      </c>
      <c r="I121" s="1414"/>
      <c r="J121" s="1413"/>
      <c r="K121" s="1413"/>
      <c r="L121" s="1413"/>
      <c r="M121" s="837" t="str">
        <f t="shared" si="11"/>
        <v/>
      </c>
      <c r="N121" s="1413"/>
      <c r="O121" s="836" t="str">
        <f t="shared" si="15"/>
        <v/>
      </c>
      <c r="P121" s="1413"/>
      <c r="Q121" s="836" t="str">
        <f t="shared" si="16"/>
        <v/>
      </c>
      <c r="R121" s="958"/>
      <c r="S121" s="1415"/>
      <c r="AT121" s="732"/>
    </row>
    <row r="122" spans="1:46" s="736" customFormat="1" ht="15" x14ac:dyDescent="0.25">
      <c r="A122" s="870"/>
      <c r="B122" s="760"/>
      <c r="C122" s="1413"/>
      <c r="D122" s="836" t="str">
        <f t="shared" si="13"/>
        <v/>
      </c>
      <c r="E122" s="1413"/>
      <c r="F122" s="836" t="str">
        <f t="shared" si="14"/>
        <v/>
      </c>
      <c r="G122" s="837" t="str">
        <f t="shared" si="9"/>
        <v/>
      </c>
      <c r="H122" s="836" t="e">
        <f t="shared" si="10"/>
        <v>#VALUE!</v>
      </c>
      <c r="I122" s="1414"/>
      <c r="J122" s="1413"/>
      <c r="K122" s="1413"/>
      <c r="L122" s="1413"/>
      <c r="M122" s="837" t="str">
        <f t="shared" si="11"/>
        <v/>
      </c>
      <c r="N122" s="1413"/>
      <c r="O122" s="836" t="str">
        <f t="shared" si="15"/>
        <v/>
      </c>
      <c r="P122" s="1413"/>
      <c r="Q122" s="836" t="str">
        <f t="shared" si="16"/>
        <v/>
      </c>
      <c r="R122" s="958"/>
      <c r="S122" s="1415"/>
      <c r="AT122" s="732"/>
    </row>
    <row r="123" spans="1:46" s="736" customFormat="1" ht="15" x14ac:dyDescent="0.25">
      <c r="A123" s="870"/>
      <c r="B123" s="760"/>
      <c r="C123" s="1413"/>
      <c r="D123" s="836" t="str">
        <f t="shared" si="13"/>
        <v/>
      </c>
      <c r="E123" s="1413"/>
      <c r="F123" s="836" t="str">
        <f t="shared" si="14"/>
        <v/>
      </c>
      <c r="G123" s="837" t="str">
        <f t="shared" si="9"/>
        <v/>
      </c>
      <c r="H123" s="836" t="e">
        <f t="shared" si="10"/>
        <v>#VALUE!</v>
      </c>
      <c r="I123" s="1414"/>
      <c r="J123" s="1413"/>
      <c r="K123" s="1413"/>
      <c r="L123" s="1413"/>
      <c r="M123" s="837" t="str">
        <f t="shared" si="11"/>
        <v/>
      </c>
      <c r="N123" s="1413"/>
      <c r="O123" s="836" t="str">
        <f t="shared" si="15"/>
        <v/>
      </c>
      <c r="P123" s="1413"/>
      <c r="Q123" s="836" t="str">
        <f t="shared" si="16"/>
        <v/>
      </c>
      <c r="R123" s="958"/>
      <c r="S123" s="1415"/>
      <c r="AT123" s="732"/>
    </row>
    <row r="124" spans="1:46" s="736" customFormat="1" ht="15" x14ac:dyDescent="0.25">
      <c r="A124" s="870"/>
      <c r="B124" s="760"/>
      <c r="C124" s="1413"/>
      <c r="D124" s="836" t="str">
        <f t="shared" si="13"/>
        <v/>
      </c>
      <c r="E124" s="1413"/>
      <c r="F124" s="836" t="str">
        <f t="shared" si="14"/>
        <v/>
      </c>
      <c r="G124" s="837" t="str">
        <f t="shared" si="9"/>
        <v/>
      </c>
      <c r="H124" s="836" t="e">
        <f t="shared" si="10"/>
        <v>#VALUE!</v>
      </c>
      <c r="I124" s="1414"/>
      <c r="J124" s="1413"/>
      <c r="K124" s="1413"/>
      <c r="L124" s="1413"/>
      <c r="M124" s="837" t="str">
        <f t="shared" si="11"/>
        <v/>
      </c>
      <c r="N124" s="1413"/>
      <c r="O124" s="836" t="str">
        <f t="shared" si="15"/>
        <v/>
      </c>
      <c r="P124" s="1413"/>
      <c r="Q124" s="836" t="str">
        <f t="shared" si="16"/>
        <v/>
      </c>
      <c r="R124" s="958"/>
      <c r="S124" s="1415"/>
      <c r="AT124" s="732"/>
    </row>
    <row r="125" spans="1:46" s="736" customFormat="1" ht="15" x14ac:dyDescent="0.25">
      <c r="A125" s="870"/>
      <c r="B125" s="760"/>
      <c r="C125" s="1413"/>
      <c r="D125" s="836" t="str">
        <f t="shared" si="13"/>
        <v/>
      </c>
      <c r="E125" s="1413"/>
      <c r="F125" s="836" t="str">
        <f t="shared" si="14"/>
        <v/>
      </c>
      <c r="G125" s="837" t="str">
        <f t="shared" si="9"/>
        <v/>
      </c>
      <c r="H125" s="836" t="e">
        <f t="shared" si="10"/>
        <v>#VALUE!</v>
      </c>
      <c r="I125" s="1414"/>
      <c r="J125" s="1413"/>
      <c r="K125" s="1413"/>
      <c r="L125" s="1413"/>
      <c r="M125" s="837" t="str">
        <f t="shared" si="11"/>
        <v/>
      </c>
      <c r="N125" s="1413"/>
      <c r="O125" s="836" t="str">
        <f t="shared" si="15"/>
        <v/>
      </c>
      <c r="P125" s="1413"/>
      <c r="Q125" s="836" t="str">
        <f t="shared" si="16"/>
        <v/>
      </c>
      <c r="R125" s="958"/>
      <c r="S125" s="1415"/>
      <c r="AT125" s="732"/>
    </row>
    <row r="126" spans="1:46" s="736" customFormat="1" ht="15" x14ac:dyDescent="0.25">
      <c r="A126" s="870"/>
      <c r="B126" s="760"/>
      <c r="C126" s="1413"/>
      <c r="D126" s="836" t="str">
        <f t="shared" si="13"/>
        <v/>
      </c>
      <c r="E126" s="1413"/>
      <c r="F126" s="836" t="str">
        <f t="shared" si="14"/>
        <v/>
      </c>
      <c r="G126" s="837" t="str">
        <f t="shared" si="9"/>
        <v/>
      </c>
      <c r="H126" s="836" t="e">
        <f t="shared" si="10"/>
        <v>#VALUE!</v>
      </c>
      <c r="I126" s="1414"/>
      <c r="J126" s="1413"/>
      <c r="K126" s="1413"/>
      <c r="L126" s="1413"/>
      <c r="M126" s="837" t="str">
        <f t="shared" si="11"/>
        <v/>
      </c>
      <c r="N126" s="1413"/>
      <c r="O126" s="836" t="str">
        <f t="shared" si="15"/>
        <v/>
      </c>
      <c r="P126" s="1413"/>
      <c r="Q126" s="836" t="str">
        <f t="shared" si="16"/>
        <v/>
      </c>
      <c r="R126" s="958"/>
      <c r="S126" s="1415"/>
      <c r="AT126" s="732"/>
    </row>
    <row r="127" spans="1:46" s="736" customFormat="1" ht="15" x14ac:dyDescent="0.25">
      <c r="A127" s="870"/>
      <c r="B127" s="760"/>
      <c r="C127" s="1413"/>
      <c r="D127" s="836" t="str">
        <f t="shared" si="13"/>
        <v/>
      </c>
      <c r="E127" s="1413"/>
      <c r="F127" s="836" t="str">
        <f t="shared" si="14"/>
        <v/>
      </c>
      <c r="G127" s="837" t="str">
        <f t="shared" si="9"/>
        <v/>
      </c>
      <c r="H127" s="836" t="e">
        <f t="shared" si="10"/>
        <v>#VALUE!</v>
      </c>
      <c r="I127" s="1414"/>
      <c r="J127" s="1413"/>
      <c r="K127" s="1413"/>
      <c r="L127" s="1413"/>
      <c r="M127" s="837" t="str">
        <f t="shared" si="11"/>
        <v/>
      </c>
      <c r="N127" s="1413"/>
      <c r="O127" s="836" t="str">
        <f t="shared" si="15"/>
        <v/>
      </c>
      <c r="P127" s="1413"/>
      <c r="Q127" s="836" t="str">
        <f t="shared" si="16"/>
        <v/>
      </c>
      <c r="R127" s="958"/>
      <c r="S127" s="1415"/>
      <c r="AT127" s="732"/>
    </row>
    <row r="128" spans="1:46" s="736" customFormat="1" ht="15" x14ac:dyDescent="0.25">
      <c r="A128" s="870"/>
      <c r="B128" s="760"/>
      <c r="C128" s="1413"/>
      <c r="D128" s="836" t="str">
        <f t="shared" si="13"/>
        <v/>
      </c>
      <c r="E128" s="1413"/>
      <c r="F128" s="836" t="str">
        <f t="shared" si="14"/>
        <v/>
      </c>
      <c r="G128" s="837" t="str">
        <f t="shared" si="9"/>
        <v/>
      </c>
      <c r="H128" s="836" t="e">
        <f t="shared" si="10"/>
        <v>#VALUE!</v>
      </c>
      <c r="I128" s="1414"/>
      <c r="J128" s="1413"/>
      <c r="K128" s="1413"/>
      <c r="L128" s="1413"/>
      <c r="M128" s="837" t="str">
        <f t="shared" si="11"/>
        <v/>
      </c>
      <c r="N128" s="1413"/>
      <c r="O128" s="836" t="str">
        <f t="shared" si="15"/>
        <v/>
      </c>
      <c r="P128" s="1413"/>
      <c r="Q128" s="836" t="str">
        <f t="shared" si="16"/>
        <v/>
      </c>
      <c r="R128" s="958"/>
      <c r="S128" s="1415"/>
      <c r="AT128" s="732"/>
    </row>
    <row r="129" spans="1:46" ht="15.75" thickBot="1" x14ac:dyDescent="0.3">
      <c r="A129" s="869"/>
      <c r="B129" s="843"/>
      <c r="C129" s="1165"/>
      <c r="D129" s="836" t="str">
        <f t="shared" si="13"/>
        <v/>
      </c>
      <c r="E129" s="1165"/>
      <c r="F129" s="836" t="str">
        <f t="shared" si="14"/>
        <v/>
      </c>
      <c r="G129" s="837" t="str">
        <f t="shared" si="9"/>
        <v/>
      </c>
      <c r="H129" s="836" t="e">
        <f t="shared" si="10"/>
        <v>#VALUE!</v>
      </c>
      <c r="I129" s="1173"/>
      <c r="J129" s="1165"/>
      <c r="K129" s="1165"/>
      <c r="L129" s="1165"/>
      <c r="M129" s="837" t="str">
        <f t="shared" si="11"/>
        <v/>
      </c>
      <c r="N129" s="1165"/>
      <c r="O129" s="836" t="str">
        <f t="shared" si="15"/>
        <v/>
      </c>
      <c r="P129" s="1165"/>
      <c r="Q129" s="836" t="str">
        <f t="shared" si="16"/>
        <v/>
      </c>
      <c r="R129" s="958"/>
      <c r="S129" s="1170"/>
      <c r="AT129" s="293" t="str">
        <f>CONCATENATE(A129,"-",B129)</f>
        <v>-</v>
      </c>
    </row>
    <row r="130" spans="1:46" ht="15" customHeight="1" x14ac:dyDescent="0.25">
      <c r="A130" s="2257" t="s">
        <v>1529</v>
      </c>
      <c r="B130" s="2258"/>
      <c r="C130" s="2230" t="s">
        <v>1498</v>
      </c>
      <c r="D130" s="2230"/>
      <c r="E130" s="2230"/>
      <c r="F130" s="2230"/>
      <c r="G130" s="2230"/>
      <c r="H130" s="2230"/>
      <c r="I130" s="2230"/>
      <c r="J130" s="2229" t="s">
        <v>1499</v>
      </c>
      <c r="K130" s="2230"/>
      <c r="L130" s="2230"/>
      <c r="M130" s="2230"/>
      <c r="N130" s="2230"/>
      <c r="O130" s="2230"/>
      <c r="P130" s="2230"/>
      <c r="Q130" s="2230"/>
      <c r="R130" s="2259"/>
      <c r="S130" s="833"/>
      <c r="AT130" s="293"/>
    </row>
    <row r="131" spans="1:46" ht="45" customHeight="1" thickBot="1" x14ac:dyDescent="0.3">
      <c r="A131" s="2248"/>
      <c r="B131" s="2249"/>
      <c r="C131" s="2232"/>
      <c r="D131" s="2232"/>
      <c r="E131" s="2232"/>
      <c r="F131" s="2232"/>
      <c r="G131" s="2232"/>
      <c r="H131" s="2232"/>
      <c r="I131" s="2232"/>
      <c r="J131" s="2231"/>
      <c r="K131" s="2232"/>
      <c r="L131" s="2232"/>
      <c r="M131" s="2232"/>
      <c r="N131" s="2232"/>
      <c r="O131" s="2232"/>
      <c r="P131" s="2232"/>
      <c r="Q131" s="2232"/>
      <c r="R131" s="2232"/>
      <c r="S131" s="834" t="s">
        <v>1500</v>
      </c>
    </row>
    <row r="132" spans="1:46" ht="24" customHeight="1" x14ac:dyDescent="0.25">
      <c r="A132" s="2233" t="s">
        <v>1530</v>
      </c>
      <c r="B132" s="2235" t="s">
        <v>1531</v>
      </c>
      <c r="C132" s="2233" t="s">
        <v>1519</v>
      </c>
      <c r="D132" s="2237" t="s">
        <v>1520</v>
      </c>
      <c r="E132" s="2237" t="s">
        <v>1521</v>
      </c>
      <c r="F132" s="2237" t="s">
        <v>1522</v>
      </c>
      <c r="G132" s="2237" t="s">
        <v>1506</v>
      </c>
      <c r="H132" s="2237" t="s">
        <v>1507</v>
      </c>
      <c r="I132" s="2235" t="s">
        <v>1508</v>
      </c>
      <c r="J132" s="2233" t="s">
        <v>1509</v>
      </c>
      <c r="K132" s="2237" t="s">
        <v>1510</v>
      </c>
      <c r="L132" s="2237"/>
      <c r="M132" s="2237" t="s">
        <v>1523</v>
      </c>
      <c r="N132" s="2237" t="s">
        <v>1524</v>
      </c>
      <c r="O132" s="2237" t="s">
        <v>1525</v>
      </c>
      <c r="P132" s="2237" t="s">
        <v>1526</v>
      </c>
      <c r="Q132" s="2237" t="s">
        <v>1527</v>
      </c>
      <c r="R132" s="2237" t="s">
        <v>1514</v>
      </c>
      <c r="S132" s="2235" t="s">
        <v>1528</v>
      </c>
    </row>
    <row r="133" spans="1:46" ht="45" customHeight="1" thickBot="1" x14ac:dyDescent="0.3">
      <c r="A133" s="2234"/>
      <c r="B133" s="2236"/>
      <c r="C133" s="2234"/>
      <c r="D133" s="2238"/>
      <c r="E133" s="2238"/>
      <c r="F133" s="2238"/>
      <c r="G133" s="2238"/>
      <c r="H133" s="2238"/>
      <c r="I133" s="2236"/>
      <c r="J133" s="2234"/>
      <c r="K133" s="835" t="s">
        <v>1516</v>
      </c>
      <c r="L133" s="835" t="s">
        <v>1517</v>
      </c>
      <c r="M133" s="2238"/>
      <c r="N133" s="2238"/>
      <c r="O133" s="2238"/>
      <c r="P133" s="2238"/>
      <c r="Q133" s="2238"/>
      <c r="R133" s="2238"/>
      <c r="S133" s="2236"/>
    </row>
    <row r="134" spans="1:46" s="736" customFormat="1" ht="18" customHeight="1" x14ac:dyDescent="0.25">
      <c r="A134" s="870">
        <v>45</v>
      </c>
      <c r="B134" s="844" t="s">
        <v>784</v>
      </c>
      <c r="C134" s="1163">
        <v>120000000</v>
      </c>
      <c r="D134" s="836">
        <f>IF(C134="","",C134/$C$134)</f>
        <v>1</v>
      </c>
      <c r="E134" s="1163">
        <v>120000</v>
      </c>
      <c r="F134" s="836">
        <f>IF(E134="","",E134/$E$134)</f>
        <v>1</v>
      </c>
      <c r="G134" s="837">
        <f t="shared" ref="G134:G141" si="17">IF(AND(C134="",E134=""),"",E134-C134)</f>
        <v>-119880000</v>
      </c>
      <c r="H134" s="836">
        <f t="shared" ref="H134:H141" si="18">IF(E134="",G134/C134,G134/E134)</f>
        <v>-999</v>
      </c>
      <c r="I134" s="1166"/>
      <c r="J134" s="1163">
        <v>12000</v>
      </c>
      <c r="K134" s="1163"/>
      <c r="L134" s="1163"/>
      <c r="M134" s="872">
        <f t="shared" ref="M134:M145" si="19">IF(J134="","",J134-K134+L134)</f>
        <v>12000</v>
      </c>
      <c r="N134" s="1163">
        <v>255555555</v>
      </c>
      <c r="O134" s="836">
        <f t="shared" ref="O134:O145" si="20">IF(OR(E134="",N134=""),"",N134/E134)</f>
        <v>2129.629625</v>
      </c>
      <c r="P134" s="1163">
        <v>12000</v>
      </c>
      <c r="Q134" s="836">
        <f t="shared" ref="Q134:Q145" si="21">IF(OR(E134="",P134=""),"",P134/E134)</f>
        <v>0.1</v>
      </c>
      <c r="R134" s="958"/>
      <c r="S134" s="1166"/>
      <c r="AT134" s="732" t="str">
        <f t="shared" ref="AT134:AT144" si="22">CONCATENATE(A134,"-",B134)</f>
        <v>45-GASTOS DE COMERCIALIZACIÓN Y PRODUCCIÓN</v>
      </c>
    </row>
    <row r="135" spans="1:46" s="736" customFormat="1" ht="18" customHeight="1" x14ac:dyDescent="0.25">
      <c r="A135" s="870">
        <v>4501</v>
      </c>
      <c r="B135" s="844" t="s">
        <v>784</v>
      </c>
      <c r="C135" s="1163">
        <v>120000000</v>
      </c>
      <c r="D135" s="836">
        <f>IF(C135="","",C135/$C$134)</f>
        <v>1</v>
      </c>
      <c r="E135" s="1163">
        <v>12000</v>
      </c>
      <c r="F135" s="836">
        <f>IF(E135="","",E135/$E$134)</f>
        <v>0.1</v>
      </c>
      <c r="G135" s="837">
        <f t="shared" si="17"/>
        <v>-119988000</v>
      </c>
      <c r="H135" s="836">
        <f t="shared" si="18"/>
        <v>-9999</v>
      </c>
      <c r="I135" s="1166"/>
      <c r="J135" s="1163">
        <v>12000</v>
      </c>
      <c r="K135" s="1163"/>
      <c r="L135" s="1163"/>
      <c r="M135" s="872">
        <f t="shared" si="19"/>
        <v>12000</v>
      </c>
      <c r="N135" s="1163">
        <v>12000</v>
      </c>
      <c r="O135" s="836">
        <f t="shared" si="20"/>
        <v>1</v>
      </c>
      <c r="P135" s="1163">
        <v>12000</v>
      </c>
      <c r="Q135" s="836">
        <f t="shared" si="21"/>
        <v>1</v>
      </c>
      <c r="R135" s="958"/>
      <c r="S135" s="1166"/>
      <c r="AT135" s="732" t="str">
        <f t="shared" si="22"/>
        <v>4501-GASTOS DE COMERCIALIZACIÓN Y PRODUCCIÓN</v>
      </c>
    </row>
    <row r="136" spans="1:46" ht="18" customHeight="1" x14ac:dyDescent="0.25">
      <c r="A136" s="869">
        <v>450101</v>
      </c>
      <c r="B136" s="871" t="s">
        <v>1569</v>
      </c>
      <c r="C136" s="1164">
        <v>120000000</v>
      </c>
      <c r="D136" s="839">
        <f>IF(C136="","",C136/$C$134)</f>
        <v>1</v>
      </c>
      <c r="E136" s="1164">
        <v>12000</v>
      </c>
      <c r="F136" s="839">
        <f>IF(E136="","",E136/$E$134)</f>
        <v>0.1</v>
      </c>
      <c r="G136" s="840">
        <f t="shared" si="17"/>
        <v>-119988000</v>
      </c>
      <c r="H136" s="839">
        <f t="shared" si="18"/>
        <v>-9999</v>
      </c>
      <c r="I136" s="1167"/>
      <c r="J136" s="1164">
        <v>12000</v>
      </c>
      <c r="K136" s="1164"/>
      <c r="L136" s="1164"/>
      <c r="M136" s="873">
        <f t="shared" si="19"/>
        <v>12000</v>
      </c>
      <c r="N136" s="1164">
        <v>12000</v>
      </c>
      <c r="O136" s="839">
        <f t="shared" si="20"/>
        <v>1</v>
      </c>
      <c r="P136" s="1164">
        <v>12000</v>
      </c>
      <c r="Q136" s="839">
        <f t="shared" si="21"/>
        <v>1</v>
      </c>
      <c r="R136" s="1323"/>
      <c r="S136" s="1167"/>
      <c r="AT136" s="293" t="str">
        <f t="shared" si="22"/>
        <v>450101-Materiales y suministros</v>
      </c>
    </row>
    <row r="137" spans="1:46" ht="18" customHeight="1" x14ac:dyDescent="0.25">
      <c r="A137" s="869"/>
      <c r="B137" s="871" t="s">
        <v>787</v>
      </c>
      <c r="C137" s="1164">
        <v>1201800</v>
      </c>
      <c r="D137" s="839">
        <f t="shared" ref="D137:D145" si="23">IF(C137="","",C137/C137)</f>
        <v>1</v>
      </c>
      <c r="E137" s="1164">
        <v>1500000</v>
      </c>
      <c r="F137" s="839">
        <f t="shared" ref="F137:F145" si="24">IF(E137="","",E137/E137)</f>
        <v>1</v>
      </c>
      <c r="G137" s="840">
        <f t="shared" si="17"/>
        <v>298200</v>
      </c>
      <c r="H137" s="839">
        <f t="shared" si="18"/>
        <v>0.1988</v>
      </c>
      <c r="I137" s="1167"/>
      <c r="J137" s="1164">
        <v>12000</v>
      </c>
      <c r="K137" s="1164"/>
      <c r="L137" s="1164"/>
      <c r="M137" s="873">
        <f t="shared" si="19"/>
        <v>12000</v>
      </c>
      <c r="N137" s="1164">
        <v>120000000</v>
      </c>
      <c r="O137" s="839">
        <f t="shared" si="20"/>
        <v>80</v>
      </c>
      <c r="P137" s="1164">
        <v>12000</v>
      </c>
      <c r="Q137" s="839">
        <f t="shared" si="21"/>
        <v>8.0000000000000002E-3</v>
      </c>
      <c r="R137" s="1323"/>
      <c r="S137" s="1167"/>
      <c r="AT137" s="293" t="str">
        <f t="shared" si="22"/>
        <v>-RESERVAS PRESUPUESTALES CONSTITUIDAS</v>
      </c>
    </row>
    <row r="138" spans="1:46" ht="18" customHeight="1" x14ac:dyDescent="0.25">
      <c r="A138" s="869"/>
      <c r="B138" s="871" t="s">
        <v>788</v>
      </c>
      <c r="C138" s="1164">
        <v>1201800</v>
      </c>
      <c r="D138" s="839">
        <f t="shared" si="23"/>
        <v>1</v>
      </c>
      <c r="E138" s="1164">
        <v>1500000</v>
      </c>
      <c r="F138" s="839">
        <f t="shared" si="24"/>
        <v>1</v>
      </c>
      <c r="G138" s="840">
        <f t="shared" si="17"/>
        <v>298200</v>
      </c>
      <c r="H138" s="839">
        <f t="shared" si="18"/>
        <v>0.1988</v>
      </c>
      <c r="I138" s="1167"/>
      <c r="J138" s="1164">
        <v>12001</v>
      </c>
      <c r="K138" s="1164"/>
      <c r="L138" s="1164"/>
      <c r="M138" s="873">
        <f t="shared" si="19"/>
        <v>12001</v>
      </c>
      <c r="N138" s="1164">
        <v>120000000</v>
      </c>
      <c r="O138" s="839">
        <f t="shared" si="20"/>
        <v>80</v>
      </c>
      <c r="P138" s="1164">
        <v>12001</v>
      </c>
      <c r="Q138" s="839">
        <f t="shared" si="21"/>
        <v>8.0006666666666663E-3</v>
      </c>
      <c r="R138" s="1323"/>
      <c r="S138" s="1167"/>
      <c r="AT138" s="293" t="str">
        <f t="shared" si="22"/>
        <v>-CUENTAS POR PAGAR</v>
      </c>
    </row>
    <row r="139" spans="1:46" ht="18" customHeight="1" x14ac:dyDescent="0.25">
      <c r="A139" s="869"/>
      <c r="B139" s="871" t="s">
        <v>789</v>
      </c>
      <c r="C139" s="1164">
        <v>150000000</v>
      </c>
      <c r="D139" s="839">
        <f t="shared" si="23"/>
        <v>1</v>
      </c>
      <c r="E139" s="1164">
        <v>1500000</v>
      </c>
      <c r="F139" s="839">
        <f t="shared" si="24"/>
        <v>1</v>
      </c>
      <c r="G139" s="840">
        <f t="shared" si="17"/>
        <v>-148500000</v>
      </c>
      <c r="H139" s="839">
        <f t="shared" si="18"/>
        <v>-99</v>
      </c>
      <c r="I139" s="1167"/>
      <c r="J139" s="1164">
        <v>12001</v>
      </c>
      <c r="K139" s="1164"/>
      <c r="L139" s="1164"/>
      <c r="M139" s="873">
        <f t="shared" si="19"/>
        <v>12001</v>
      </c>
      <c r="N139" s="1164">
        <v>120000000</v>
      </c>
      <c r="O139" s="839">
        <f t="shared" si="20"/>
        <v>80</v>
      </c>
      <c r="P139" s="1164">
        <v>12001</v>
      </c>
      <c r="Q139" s="839">
        <f t="shared" si="21"/>
        <v>8.0006666666666663E-3</v>
      </c>
      <c r="R139" s="1323"/>
      <c r="S139" s="1167"/>
      <c r="AT139" s="293" t="str">
        <f t="shared" si="22"/>
        <v>-OBLIGACIONES POR PAGAR</v>
      </c>
    </row>
    <row r="140" spans="1:46" ht="18" customHeight="1" x14ac:dyDescent="0.25">
      <c r="A140" s="869"/>
      <c r="B140" s="871" t="s">
        <v>518</v>
      </c>
      <c r="C140" s="1164">
        <v>1201800</v>
      </c>
      <c r="D140" s="839">
        <f t="shared" si="23"/>
        <v>1</v>
      </c>
      <c r="E140" s="1164">
        <v>1500000</v>
      </c>
      <c r="F140" s="839">
        <f t="shared" si="24"/>
        <v>1</v>
      </c>
      <c r="G140" s="840">
        <f t="shared" si="17"/>
        <v>298200</v>
      </c>
      <c r="H140" s="839">
        <f t="shared" si="18"/>
        <v>0.1988</v>
      </c>
      <c r="I140" s="1167"/>
      <c r="J140" s="1164">
        <v>12002</v>
      </c>
      <c r="K140" s="1164"/>
      <c r="L140" s="1164"/>
      <c r="M140" s="873">
        <f t="shared" si="19"/>
        <v>12002</v>
      </c>
      <c r="N140" s="1164">
        <v>120000000</v>
      </c>
      <c r="O140" s="839">
        <f t="shared" si="20"/>
        <v>80</v>
      </c>
      <c r="P140" s="1164">
        <v>12002</v>
      </c>
      <c r="Q140" s="839">
        <f t="shared" si="21"/>
        <v>8.0013333333333325E-3</v>
      </c>
      <c r="R140" s="1323"/>
      <c r="S140" s="1167"/>
      <c r="AT140" s="293" t="str">
        <f t="shared" si="22"/>
        <v>-PASIVOS EXIGIBLES</v>
      </c>
    </row>
    <row r="141" spans="1:46" ht="18" customHeight="1" x14ac:dyDescent="0.25">
      <c r="A141" s="869"/>
      <c r="B141" s="871" t="s">
        <v>524</v>
      </c>
      <c r="C141" s="1164">
        <v>520000</v>
      </c>
      <c r="D141" s="839">
        <f t="shared" si="23"/>
        <v>1</v>
      </c>
      <c r="E141" s="1164">
        <v>1500000</v>
      </c>
      <c r="F141" s="839">
        <f t="shared" si="24"/>
        <v>1</v>
      </c>
      <c r="G141" s="840">
        <f t="shared" si="17"/>
        <v>980000</v>
      </c>
      <c r="H141" s="839">
        <f t="shared" si="18"/>
        <v>0.65333333333333332</v>
      </c>
      <c r="I141" s="1167"/>
      <c r="J141" s="1164">
        <v>12003</v>
      </c>
      <c r="K141" s="1164"/>
      <c r="L141" s="1164"/>
      <c r="M141" s="873">
        <f t="shared" si="19"/>
        <v>12003</v>
      </c>
      <c r="N141" s="1164">
        <v>120000000</v>
      </c>
      <c r="O141" s="839">
        <f t="shared" si="20"/>
        <v>80</v>
      </c>
      <c r="P141" s="1164">
        <v>12003</v>
      </c>
      <c r="Q141" s="839">
        <f t="shared" si="21"/>
        <v>8.0020000000000004E-3</v>
      </c>
      <c r="R141" s="1323"/>
      <c r="S141" s="1167"/>
      <c r="AT141" s="293" t="str">
        <f t="shared" si="22"/>
        <v>-VIGENCIAS FUTURAS</v>
      </c>
    </row>
    <row r="142" spans="1:46" ht="18" customHeight="1" x14ac:dyDescent="0.25">
      <c r="A142" s="869"/>
      <c r="B142" s="871"/>
      <c r="C142" s="1164"/>
      <c r="D142" s="839" t="str">
        <f t="shared" si="23"/>
        <v/>
      </c>
      <c r="E142" s="1164"/>
      <c r="F142" s="839" t="str">
        <f t="shared" si="24"/>
        <v/>
      </c>
      <c r="G142" s="840" t="str">
        <f t="shared" ref="G142:G145" si="25">IF(AND(C142="",E142=""),"",E142-C142)</f>
        <v/>
      </c>
      <c r="H142" s="839" t="e">
        <f t="shared" ref="H142:H145" si="26">IF(E142="",G142/C142,G142/E142)</f>
        <v>#VALUE!</v>
      </c>
      <c r="I142" s="1167"/>
      <c r="J142" s="1164"/>
      <c r="K142" s="1164"/>
      <c r="L142" s="1164"/>
      <c r="M142" s="873" t="str">
        <f t="shared" si="19"/>
        <v/>
      </c>
      <c r="N142" s="1164"/>
      <c r="O142" s="839" t="str">
        <f t="shared" si="20"/>
        <v/>
      </c>
      <c r="P142" s="1164"/>
      <c r="Q142" s="839" t="str">
        <f t="shared" si="21"/>
        <v/>
      </c>
      <c r="R142" s="1323"/>
      <c r="S142" s="1167"/>
      <c r="AT142" s="293"/>
    </row>
    <row r="143" spans="1:46" ht="18" customHeight="1" x14ac:dyDescent="0.25">
      <c r="A143" s="869"/>
      <c r="B143" s="871"/>
      <c r="C143" s="1164"/>
      <c r="D143" s="839" t="str">
        <f t="shared" si="23"/>
        <v/>
      </c>
      <c r="E143" s="1164"/>
      <c r="F143" s="839" t="str">
        <f t="shared" si="24"/>
        <v/>
      </c>
      <c r="G143" s="840" t="str">
        <f t="shared" si="25"/>
        <v/>
      </c>
      <c r="H143" s="839" t="e">
        <f t="shared" si="26"/>
        <v>#VALUE!</v>
      </c>
      <c r="I143" s="1167"/>
      <c r="J143" s="1164"/>
      <c r="K143" s="1164"/>
      <c r="L143" s="1164"/>
      <c r="M143" s="873" t="str">
        <f t="shared" si="19"/>
        <v/>
      </c>
      <c r="N143" s="1164"/>
      <c r="O143" s="839" t="str">
        <f t="shared" si="20"/>
        <v/>
      </c>
      <c r="P143" s="1164"/>
      <c r="Q143" s="839" t="str">
        <f t="shared" si="21"/>
        <v/>
      </c>
      <c r="R143" s="1323"/>
      <c r="S143" s="1167"/>
      <c r="AT143" s="293"/>
    </row>
    <row r="144" spans="1:46" ht="18" customHeight="1" x14ac:dyDescent="0.25">
      <c r="A144" s="869"/>
      <c r="B144" s="871"/>
      <c r="C144" s="1164"/>
      <c r="D144" s="839" t="str">
        <f t="shared" si="23"/>
        <v/>
      </c>
      <c r="E144" s="1164"/>
      <c r="F144" s="839" t="str">
        <f t="shared" si="24"/>
        <v/>
      </c>
      <c r="G144" s="840" t="str">
        <f t="shared" si="25"/>
        <v/>
      </c>
      <c r="H144" s="839" t="e">
        <f t="shared" si="26"/>
        <v>#VALUE!</v>
      </c>
      <c r="I144" s="1167"/>
      <c r="J144" s="1164"/>
      <c r="K144" s="1164"/>
      <c r="L144" s="1164"/>
      <c r="M144" s="873" t="str">
        <f t="shared" si="19"/>
        <v/>
      </c>
      <c r="N144" s="1164"/>
      <c r="O144" s="839" t="str">
        <f t="shared" si="20"/>
        <v/>
      </c>
      <c r="P144" s="1164"/>
      <c r="Q144" s="839" t="str">
        <f t="shared" si="21"/>
        <v/>
      </c>
      <c r="R144" s="1323"/>
      <c r="S144" s="1167"/>
      <c r="AT144" s="293" t="str">
        <f t="shared" si="22"/>
        <v>-</v>
      </c>
    </row>
    <row r="145" spans="1:46" ht="18" customHeight="1" x14ac:dyDescent="0.25">
      <c r="A145" s="869"/>
      <c r="B145" s="871"/>
      <c r="C145" s="1416"/>
      <c r="D145" s="839" t="str">
        <f t="shared" si="23"/>
        <v/>
      </c>
      <c r="E145" s="1417"/>
      <c r="F145" s="839" t="str">
        <f t="shared" si="24"/>
        <v/>
      </c>
      <c r="G145" s="840" t="str">
        <f t="shared" si="25"/>
        <v/>
      </c>
      <c r="H145" s="839" t="e">
        <f t="shared" si="26"/>
        <v>#VALUE!</v>
      </c>
      <c r="I145" s="1167"/>
      <c r="J145" s="1164"/>
      <c r="K145" s="1164"/>
      <c r="L145" s="1164"/>
      <c r="M145" s="873" t="str">
        <f t="shared" si="19"/>
        <v/>
      </c>
      <c r="N145" s="1164"/>
      <c r="O145" s="839" t="str">
        <f t="shared" si="20"/>
        <v/>
      </c>
      <c r="P145" s="1164"/>
      <c r="Q145" s="839" t="str">
        <f t="shared" si="21"/>
        <v/>
      </c>
      <c r="R145" s="1323"/>
      <c r="S145" s="1167"/>
      <c r="AT145" s="293"/>
    </row>
    <row r="146" spans="1:46" ht="24" customHeight="1" x14ac:dyDescent="0.25">
      <c r="A146" s="2269" t="s">
        <v>1532</v>
      </c>
      <c r="B146" s="2269"/>
      <c r="C146" s="2270" t="s">
        <v>1533</v>
      </c>
      <c r="D146" s="2271"/>
      <c r="E146" s="2271"/>
      <c r="F146" s="2272"/>
      <c r="G146" s="1703"/>
      <c r="H146" s="1703"/>
      <c r="I146" s="1703"/>
      <c r="J146" s="1703"/>
      <c r="K146" s="1703"/>
      <c r="L146" s="1703"/>
      <c r="M146" s="1703"/>
      <c r="N146" s="1703"/>
      <c r="O146" s="1703"/>
      <c r="P146" s="1703"/>
      <c r="Q146" s="1703"/>
      <c r="R146" s="1703"/>
      <c r="S146" s="1703"/>
      <c r="AT146" s="293"/>
    </row>
    <row r="147" spans="1:46" ht="32.25" customHeight="1" x14ac:dyDescent="0.25">
      <c r="A147" s="2269"/>
      <c r="B147" s="2269"/>
      <c r="C147" s="2273"/>
      <c r="D147" s="2274"/>
      <c r="E147" s="2274"/>
      <c r="F147" s="2275"/>
      <c r="G147" s="1703"/>
      <c r="H147" s="1703"/>
      <c r="I147" s="1703"/>
      <c r="J147" s="1703"/>
      <c r="K147" s="1703"/>
      <c r="L147" s="1703"/>
      <c r="M147" s="1703"/>
      <c r="N147" s="1703"/>
      <c r="O147" s="1703"/>
      <c r="P147" s="1703"/>
      <c r="Q147" s="1703"/>
      <c r="R147" s="1703"/>
      <c r="S147" s="1703"/>
      <c r="AT147" s="293"/>
    </row>
    <row r="148" spans="1:46" ht="15" x14ac:dyDescent="0.25">
      <c r="A148" s="845"/>
      <c r="B148" s="845"/>
      <c r="C148" s="846"/>
      <c r="D148" s="846"/>
      <c r="E148" s="846"/>
      <c r="F148" s="846"/>
      <c r="G148" s="846"/>
      <c r="H148" s="846"/>
      <c r="I148" s="846"/>
      <c r="J148" s="846"/>
      <c r="K148" s="846"/>
      <c r="L148" s="846"/>
      <c r="M148" s="846"/>
      <c r="N148" s="846"/>
      <c r="O148" s="846"/>
      <c r="P148" s="846"/>
      <c r="Q148" s="846"/>
      <c r="R148" s="846"/>
      <c r="S148" s="846"/>
      <c r="AT148" s="293" t="str">
        <f>CONCATENATE(A144,"-",B144)</f>
        <v>-</v>
      </c>
    </row>
    <row r="149" spans="1:46" ht="15" thickBot="1" x14ac:dyDescent="0.3">
      <c r="A149" s="268"/>
      <c r="C149" s="268"/>
      <c r="D149" s="268"/>
      <c r="E149" s="268"/>
      <c r="F149" s="268"/>
      <c r="G149" s="597"/>
      <c r="H149" s="597"/>
      <c r="I149" s="597"/>
      <c r="J149" s="597"/>
      <c r="K149" s="597"/>
      <c r="L149" s="597"/>
      <c r="M149" s="597"/>
      <c r="N149" s="597"/>
      <c r="O149" s="597"/>
      <c r="P149" s="597"/>
      <c r="Q149" s="597"/>
      <c r="R149" s="597"/>
    </row>
    <row r="150" spans="1:46" ht="71.25" customHeight="1" x14ac:dyDescent="0.25">
      <c r="A150" s="2263" t="s">
        <v>666</v>
      </c>
      <c r="B150" s="2265"/>
      <c r="C150" s="2265"/>
      <c r="D150" s="2266"/>
      <c r="E150" s="268"/>
      <c r="F150" s="268"/>
      <c r="G150" s="738"/>
      <c r="H150" s="738"/>
      <c r="I150" s="738"/>
      <c r="J150" s="738"/>
      <c r="K150" s="738"/>
      <c r="L150" s="738"/>
      <c r="M150" s="738"/>
      <c r="N150" s="738"/>
      <c r="O150" s="738"/>
      <c r="P150" s="738"/>
      <c r="Q150" s="738"/>
      <c r="R150" s="694"/>
    </row>
    <row r="151" spans="1:46" ht="88.5" customHeight="1" thickBot="1" x14ac:dyDescent="0.3">
      <c r="A151" s="2264"/>
      <c r="B151" s="2267"/>
      <c r="C151" s="2267"/>
      <c r="D151" s="2268"/>
      <c r="E151" s="268"/>
      <c r="F151" s="268"/>
      <c r="G151" s="738"/>
      <c r="H151" s="738"/>
      <c r="I151" s="738"/>
      <c r="J151" s="738"/>
      <c r="K151" s="738"/>
      <c r="L151" s="738"/>
      <c r="M151" s="738"/>
      <c r="N151" s="738"/>
      <c r="O151" s="738"/>
      <c r="P151" s="738"/>
      <c r="Q151" s="738"/>
      <c r="R151" s="694"/>
    </row>
    <row r="152" spans="1:46" ht="15" thickBot="1" x14ac:dyDescent="0.3">
      <c r="A152" s="598"/>
      <c r="B152" s="696" t="s">
        <v>812</v>
      </c>
      <c r="C152" s="696" t="s">
        <v>1276</v>
      </c>
      <c r="D152" s="598"/>
    </row>
    <row r="153" spans="1:46" ht="33" customHeight="1" x14ac:dyDescent="0.25">
      <c r="A153" s="2276" t="s">
        <v>667</v>
      </c>
      <c r="B153" s="1175"/>
      <c r="C153" s="1176"/>
      <c r="D153" s="598"/>
      <c r="E153" s="847"/>
    </row>
    <row r="154" spans="1:46" ht="33" customHeight="1" x14ac:dyDescent="0.25">
      <c r="A154" s="2277"/>
      <c r="B154" s="1177"/>
      <c r="C154" s="1178"/>
      <c r="D154" s="598"/>
      <c r="E154" s="847"/>
    </row>
    <row r="155" spans="1:46" ht="34.5" customHeight="1" thickBot="1" x14ac:dyDescent="0.3">
      <c r="A155" s="2277"/>
      <c r="B155" s="1179"/>
      <c r="C155" s="1180"/>
      <c r="D155" s="598"/>
    </row>
    <row r="156" spans="1:46" ht="34.5" customHeight="1" x14ac:dyDescent="0.25">
      <c r="A156" s="1922" t="s">
        <v>1277</v>
      </c>
      <c r="B156" s="1181"/>
      <c r="C156" s="1176"/>
      <c r="D156" s="598"/>
    </row>
    <row r="157" spans="1:46" ht="34.5" customHeight="1" x14ac:dyDescent="0.25">
      <c r="A157" s="1923"/>
      <c r="B157" s="1182"/>
      <c r="C157" s="1178"/>
      <c r="D157" s="598"/>
    </row>
    <row r="158" spans="1:46" ht="34.5" customHeight="1" thickBot="1" x14ac:dyDescent="0.3">
      <c r="A158" s="1924"/>
      <c r="B158" s="1183"/>
      <c r="C158" s="1184"/>
      <c r="D158" s="598"/>
    </row>
    <row r="159" spans="1:46" ht="96" customHeight="1" thickBot="1" x14ac:dyDescent="0.3">
      <c r="A159" s="1185" t="s">
        <v>1278</v>
      </c>
      <c r="B159" s="1186"/>
      <c r="C159" s="1187"/>
      <c r="D159" s="598"/>
    </row>
    <row r="160" spans="1:46" ht="34.5" customHeight="1" thickBot="1" x14ac:dyDescent="0.3">
      <c r="A160" s="1188" t="s">
        <v>668</v>
      </c>
      <c r="B160" s="1189"/>
      <c r="C160" s="1190"/>
      <c r="D160" s="598"/>
    </row>
    <row r="161" spans="1:5" x14ac:dyDescent="0.25">
      <c r="A161" s="692"/>
      <c r="B161" s="691"/>
    </row>
    <row r="162" spans="1:5" ht="36" customHeight="1" x14ac:dyDescent="0.25">
      <c r="A162" s="2104" t="s">
        <v>1534</v>
      </c>
      <c r="B162" s="2104"/>
      <c r="C162" s="2104"/>
      <c r="D162" s="2104"/>
      <c r="E162" s="2104"/>
    </row>
    <row r="163" spans="1:5" ht="15" x14ac:dyDescent="0.25">
      <c r="A163" s="597" t="s">
        <v>1535</v>
      </c>
      <c r="B163" s="597"/>
      <c r="C163" s="597"/>
      <c r="D163" s="597"/>
    </row>
    <row r="164" spans="1:5" ht="15" x14ac:dyDescent="0.25">
      <c r="A164" s="597" t="s">
        <v>1718</v>
      </c>
      <c r="B164" s="597"/>
      <c r="C164" s="597"/>
      <c r="D164" s="597"/>
    </row>
    <row r="165" spans="1:5" ht="15.75" customHeight="1" x14ac:dyDescent="0.25">
      <c r="A165" s="291" t="s">
        <v>1536</v>
      </c>
    </row>
  </sheetData>
  <sheetProtection formatRows="0" insertRows="0" pivotTables="0"/>
  <mergeCells count="88">
    <mergeCell ref="A153:A155"/>
    <mergeCell ref="A156:A158"/>
    <mergeCell ref="A162:E162"/>
    <mergeCell ref="M146:N147"/>
    <mergeCell ref="O146:P147"/>
    <mergeCell ref="F132:F133"/>
    <mergeCell ref="G132:G133"/>
    <mergeCell ref="Q146:R147"/>
    <mergeCell ref="S146:S147"/>
    <mergeCell ref="A150:A151"/>
    <mergeCell ref="B150:D151"/>
    <mergeCell ref="Q132:Q133"/>
    <mergeCell ref="R132:R133"/>
    <mergeCell ref="S132:S133"/>
    <mergeCell ref="A146:B147"/>
    <mergeCell ref="C146:F147"/>
    <mergeCell ref="G146:H147"/>
    <mergeCell ref="I146:J147"/>
    <mergeCell ref="K146:L147"/>
    <mergeCell ref="H132:H133"/>
    <mergeCell ref="I132:I133"/>
    <mergeCell ref="A132:A133"/>
    <mergeCell ref="B132:B133"/>
    <mergeCell ref="C132:C133"/>
    <mergeCell ref="D132:D133"/>
    <mergeCell ref="E132:E133"/>
    <mergeCell ref="O132:O133"/>
    <mergeCell ref="P132:P133"/>
    <mergeCell ref="S70:S71"/>
    <mergeCell ref="G70:G71"/>
    <mergeCell ref="H70:H71"/>
    <mergeCell ref="I70:I71"/>
    <mergeCell ref="J70:J71"/>
    <mergeCell ref="K70:L70"/>
    <mergeCell ref="M70:M71"/>
    <mergeCell ref="R70:R71"/>
    <mergeCell ref="M132:M133"/>
    <mergeCell ref="N132:N133"/>
    <mergeCell ref="J132:J133"/>
    <mergeCell ref="K132:L132"/>
    <mergeCell ref="A130:B131"/>
    <mergeCell ref="C130:I131"/>
    <mergeCell ref="J130:R131"/>
    <mergeCell ref="A68:B69"/>
    <mergeCell ref="C68:I69"/>
    <mergeCell ref="J68:R69"/>
    <mergeCell ref="A70:A71"/>
    <mergeCell ref="B70:B71"/>
    <mergeCell ref="C70:C71"/>
    <mergeCell ref="D70:D71"/>
    <mergeCell ref="E70:E71"/>
    <mergeCell ref="F70:F71"/>
    <mergeCell ref="N70:N71"/>
    <mergeCell ref="O70:O71"/>
    <mergeCell ref="P70:P71"/>
    <mergeCell ref="Q70:Q71"/>
    <mergeCell ref="A17:S17"/>
    <mergeCell ref="H15:H16"/>
    <mergeCell ref="I15:I16"/>
    <mergeCell ref="J15:J16"/>
    <mergeCell ref="K15:L15"/>
    <mergeCell ref="M15:M16"/>
    <mergeCell ref="N15:N16"/>
    <mergeCell ref="R15:R16"/>
    <mergeCell ref="S15:S16"/>
    <mergeCell ref="S1:S2"/>
    <mergeCell ref="B7:C7"/>
    <mergeCell ref="B8:C8"/>
    <mergeCell ref="F8:G8"/>
    <mergeCell ref="B9:C9"/>
    <mergeCell ref="F9:G9"/>
    <mergeCell ref="A4:G4"/>
    <mergeCell ref="A5:G5"/>
    <mergeCell ref="B1:R2"/>
    <mergeCell ref="B10:C10"/>
    <mergeCell ref="F10:G10"/>
    <mergeCell ref="A1:A2"/>
    <mergeCell ref="A13:B14"/>
    <mergeCell ref="C13:I14"/>
    <mergeCell ref="J13:R14"/>
    <mergeCell ref="A15:A16"/>
    <mergeCell ref="B15:B16"/>
    <mergeCell ref="C15:C16"/>
    <mergeCell ref="D15:D16"/>
    <mergeCell ref="E15:E16"/>
    <mergeCell ref="F15:F16"/>
    <mergeCell ref="G15:G16"/>
    <mergeCell ref="O15:Q16"/>
  </mergeCells>
  <conditionalFormatting sqref="B1">
    <cfRule type="cellIs" dxfId="135" priority="1" operator="equal">
      <formula>"ERROR"</formula>
    </cfRule>
  </conditionalFormatting>
  <dataValidations count="1">
    <dataValidation type="list" allowBlank="1" showInputMessage="1" showErrorMessage="1" sqref="R146:R148" xr:uid="{00000000-0002-0000-0A00-000000000000}">
      <formula1>#REF!</formula1>
    </dataValidation>
  </dataValidations>
  <pageMargins left="0.7" right="0.7" top="0.75" bottom="0.75" header="0.3" footer="0.3"/>
  <ignoredErrors>
    <ignoredError sqref="G10 G8 G9" unlockedFormula="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'C:\Users\contrabog\Downloads\[PVCGF-04-06 Procesos presupuesto de ingresos y de gastos o costos y gastos (2).xlsx]LISTAS'!#REF!</xm:f>
          </x14:formula1>
          <xm:sqref>R67</xm:sqref>
        </x14:dataValidation>
        <x14:dataValidation type="list" allowBlank="1" showInputMessage="1" showErrorMessage="1" xr:uid="{00000000-0002-0000-0A00-000002000000}">
          <x14:formula1>
            <xm:f>'LISTAS PPTO'!$AF$81:$AF$82</xm:f>
          </x14:formula1>
          <xm:sqref>R72:R129 R134:R145 R18:R66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rgb="FF92D050"/>
  </sheetPr>
  <dimension ref="A2:BI193"/>
  <sheetViews>
    <sheetView tabSelected="1" topLeftCell="A52" zoomScale="85" zoomScaleNormal="85" workbookViewId="0">
      <selection activeCell="F82" sqref="F82"/>
    </sheetView>
  </sheetViews>
  <sheetFormatPr baseColWidth="10" defaultColWidth="11.42578125" defaultRowHeight="15" x14ac:dyDescent="0.25"/>
  <cols>
    <col min="1" max="1" width="32.140625" style="391" customWidth="1"/>
    <col min="2" max="2" width="38.28515625" style="391" customWidth="1"/>
    <col min="3" max="3" width="36.28515625" style="391" customWidth="1"/>
    <col min="4" max="4" width="29.42578125" style="391" customWidth="1"/>
    <col min="5" max="5" width="37.28515625" style="888" customWidth="1"/>
    <col min="6" max="6" width="36.28515625" style="888" customWidth="1"/>
    <col min="7" max="7" width="12" style="888" customWidth="1"/>
    <col min="8" max="8" width="15.140625" style="888" customWidth="1"/>
    <col min="9" max="9" width="13.140625" style="888" customWidth="1"/>
    <col min="10" max="10" width="18.42578125" style="888" hidden="1" customWidth="1"/>
    <col min="11" max="11" width="24.140625" style="888" customWidth="1"/>
    <col min="12" max="12" width="15.140625" style="391" customWidth="1"/>
    <col min="13" max="13" width="12.42578125" style="391" customWidth="1"/>
    <col min="14" max="15" width="11.42578125" style="391"/>
    <col min="16" max="16" width="16.42578125" style="391" customWidth="1"/>
    <col min="17" max="16384" width="11.42578125" style="391"/>
  </cols>
  <sheetData>
    <row r="2" spans="1:61" ht="26.25" customHeight="1" x14ac:dyDescent="0.25">
      <c r="A2" s="2279"/>
      <c r="B2" s="2281" t="s">
        <v>1771</v>
      </c>
      <c r="C2" s="2282"/>
      <c r="D2" s="2282"/>
      <c r="E2" s="2282"/>
      <c r="F2" s="2282"/>
      <c r="G2" s="2283"/>
      <c r="H2" s="2278" t="s">
        <v>1732</v>
      </c>
    </row>
    <row r="3" spans="1:61" ht="51.75" customHeight="1" x14ac:dyDescent="0.25">
      <c r="A3" s="2280"/>
      <c r="B3" s="2284"/>
      <c r="C3" s="2285"/>
      <c r="D3" s="2285"/>
      <c r="E3" s="2285"/>
      <c r="F3" s="2285"/>
      <c r="G3" s="2286"/>
      <c r="H3" s="2278"/>
    </row>
    <row r="4" spans="1:61" ht="10.15" customHeight="1" x14ac:dyDescent="0.25"/>
    <row r="5" spans="1:61" ht="9.6" customHeight="1" x14ac:dyDescent="0.25"/>
    <row r="6" spans="1:61" s="369" customFormat="1" ht="31.5" customHeight="1" x14ac:dyDescent="0.25">
      <c r="A6" s="2307"/>
      <c r="B6" s="2322" t="s">
        <v>1456</v>
      </c>
      <c r="C6" s="2322"/>
      <c r="D6" s="2322"/>
      <c r="E6" s="2322"/>
      <c r="F6" s="2322"/>
      <c r="G6" s="874"/>
      <c r="H6" s="874" t="s">
        <v>143</v>
      </c>
      <c r="I6" s="874"/>
      <c r="J6" s="874"/>
      <c r="K6" s="874"/>
    </row>
    <row r="7" spans="1:61" s="369" customFormat="1" ht="31.5" customHeight="1" x14ac:dyDescent="0.25">
      <c r="A7" s="2307"/>
      <c r="B7" s="2323" t="s">
        <v>752</v>
      </c>
      <c r="C7" s="2323"/>
      <c r="D7" s="2323"/>
      <c r="E7" s="2323"/>
      <c r="F7" s="2323"/>
      <c r="G7" s="875"/>
      <c r="H7" s="875"/>
      <c r="I7" s="874"/>
      <c r="J7" s="874"/>
      <c r="K7" s="874"/>
    </row>
    <row r="8" spans="1:61" s="369" customFormat="1" ht="27" customHeight="1" x14ac:dyDescent="0.25">
      <c r="B8" s="2324" t="s">
        <v>1552</v>
      </c>
      <c r="C8" s="2324"/>
      <c r="D8" s="2324"/>
      <c r="E8" s="2324"/>
      <c r="F8" s="2324"/>
      <c r="G8" s="874"/>
      <c r="H8" s="874"/>
      <c r="I8" s="874"/>
      <c r="J8" s="874"/>
      <c r="K8" s="874"/>
    </row>
    <row r="9" spans="1:61" s="372" customFormat="1" ht="15.75" x14ac:dyDescent="0.25">
      <c r="A9" s="1191" t="s">
        <v>753</v>
      </c>
      <c r="B9" s="2308" t="str">
        <f>+FENECIMIENTO!D5</f>
        <v xml:space="preserve">262 - Empresa de Transporte del Tercer Milenio - Transmilenio S.A. </v>
      </c>
      <c r="C9" s="2308"/>
      <c r="D9" s="874"/>
      <c r="E9" s="1192" t="s">
        <v>754</v>
      </c>
      <c r="F9" s="1193">
        <f>+FENECIMIENTO!K5</f>
        <v>2024</v>
      </c>
      <c r="G9" s="876"/>
      <c r="H9" s="877"/>
      <c r="I9" s="877"/>
      <c r="J9" s="877"/>
      <c r="K9" s="371"/>
      <c r="L9" s="371"/>
      <c r="M9" s="371"/>
      <c r="N9" s="371"/>
      <c r="Q9" s="373"/>
      <c r="R9" s="371"/>
      <c r="S9" s="374"/>
      <c r="T9" s="374"/>
      <c r="U9" s="374"/>
      <c r="V9" s="374"/>
      <c r="W9"/>
      <c r="X9"/>
      <c r="Y9"/>
      <c r="Z9"/>
      <c r="AA9"/>
      <c r="AB9"/>
      <c r="AC9"/>
      <c r="AD9"/>
      <c r="AE9"/>
      <c r="AF9"/>
      <c r="AG9"/>
      <c r="AH9"/>
      <c r="AI9"/>
      <c r="AJ9"/>
      <c r="AK9"/>
      <c r="AL9"/>
      <c r="AM9"/>
      <c r="AN9"/>
      <c r="AO9"/>
      <c r="AP9"/>
      <c r="AQ9"/>
      <c r="AR9"/>
      <c r="AS9"/>
      <c r="AT9"/>
      <c r="AU9"/>
      <c r="AV9"/>
      <c r="AW9"/>
      <c r="AX9"/>
      <c r="AY9"/>
      <c r="AZ9"/>
      <c r="BA9"/>
      <c r="BB9"/>
      <c r="BC9"/>
      <c r="BD9"/>
      <c r="BE9"/>
      <c r="BF9"/>
      <c r="BG9"/>
      <c r="BH9" s="375" t="s">
        <v>755</v>
      </c>
      <c r="BI9" s="375" t="s">
        <v>156</v>
      </c>
    </row>
    <row r="10" spans="1:61" s="372" customFormat="1" ht="14.25" customHeight="1" x14ac:dyDescent="0.25">
      <c r="A10" s="1194" t="s">
        <v>756</v>
      </c>
      <c r="B10" s="2309">
        <f>+FENECIMIENTO!D7</f>
        <v>45693</v>
      </c>
      <c r="C10" s="2309"/>
      <c r="D10" s="874"/>
      <c r="E10" s="1192" t="s">
        <v>1591</v>
      </c>
      <c r="F10" s="1193">
        <f>+FENECIMIENTO!D6</f>
        <v>2025</v>
      </c>
      <c r="G10" s="876"/>
      <c r="H10" s="877"/>
      <c r="I10" s="877"/>
      <c r="J10" s="877"/>
      <c r="K10" s="376"/>
      <c r="L10" s="376"/>
      <c r="M10" s="376"/>
      <c r="N10" s="376"/>
      <c r="O10" s="371"/>
      <c r="P10" s="371"/>
      <c r="Q10" s="377"/>
      <c r="R10" s="371"/>
      <c r="S10" s="378"/>
      <c r="T10" s="378"/>
      <c r="U10" s="378"/>
      <c r="V10" s="378"/>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s="379" t="s">
        <v>757</v>
      </c>
      <c r="BI10" s="379" t="s">
        <v>758</v>
      </c>
    </row>
    <row r="11" spans="1:61" s="372" customFormat="1" ht="15" customHeight="1" x14ac:dyDescent="0.25">
      <c r="A11" s="1194" t="s">
        <v>5</v>
      </c>
      <c r="B11" s="2309">
        <f>+FENECIMIENTO!K7</f>
        <v>45693</v>
      </c>
      <c r="C11" s="2309"/>
      <c r="D11" s="874"/>
      <c r="E11" s="1195" t="s">
        <v>759</v>
      </c>
      <c r="F11" s="1328"/>
      <c r="G11" s="878"/>
      <c r="H11" s="878"/>
      <c r="I11" s="878"/>
      <c r="J11" s="878"/>
      <c r="K11" s="376"/>
      <c r="L11" s="376"/>
      <c r="M11" s="376"/>
      <c r="N11" s="376"/>
      <c r="O11" s="371"/>
      <c r="P11" s="371"/>
      <c r="Q11" s="377"/>
      <c r="R11" s="371"/>
      <c r="S11" s="378"/>
      <c r="T11" s="378"/>
      <c r="U11" s="378"/>
      <c r="V11" s="378"/>
      <c r="W11" s="378"/>
      <c r="X11" s="378"/>
      <c r="Y11" s="378"/>
      <c r="Z11" s="380"/>
      <c r="AA11" s="380"/>
      <c r="AB11" s="378"/>
      <c r="AC11" s="378"/>
      <c r="AD11" s="378"/>
      <c r="AE11" s="378"/>
      <c r="AF11" s="378"/>
      <c r="AG11" s="378"/>
      <c r="AH11" s="378"/>
      <c r="AI11" s="381"/>
      <c r="AJ11" s="382"/>
      <c r="AK11" s="370"/>
      <c r="AL11" s="370"/>
      <c r="AM11" s="370"/>
      <c r="AN11" s="370"/>
      <c r="AO11" s="370"/>
      <c r="AP11" s="370"/>
      <c r="AQ11" s="370"/>
      <c r="AR11" s="383"/>
      <c r="AT11" s="384"/>
      <c r="AU11" s="385"/>
      <c r="AV11" s="386"/>
      <c r="AW11" s="370"/>
      <c r="AX11" s="387"/>
      <c r="AY11" s="370"/>
      <c r="AZ11" s="370"/>
      <c r="BA11" s="370"/>
      <c r="BB11" s="370"/>
      <c r="BC11" s="370"/>
      <c r="BG11" s="388"/>
      <c r="BH11" s="389" t="s">
        <v>760</v>
      </c>
      <c r="BI11" s="389" t="s">
        <v>154</v>
      </c>
    </row>
    <row r="12" spans="1:61" x14ac:dyDescent="0.25">
      <c r="A12" s="390"/>
      <c r="B12" s="390"/>
      <c r="C12" s="369"/>
      <c r="D12" s="369"/>
      <c r="E12" s="879"/>
      <c r="F12" s="874"/>
      <c r="G12" s="874"/>
      <c r="H12" s="874"/>
      <c r="I12" s="874"/>
      <c r="J12" s="874"/>
      <c r="K12" s="874"/>
      <c r="L12" s="369"/>
      <c r="M12" s="369"/>
    </row>
    <row r="13" spans="1:61" ht="10.9" customHeight="1" x14ac:dyDescent="0.25">
      <c r="A13" s="1196"/>
      <c r="B13" s="1196"/>
      <c r="C13" s="1196"/>
      <c r="D13" s="1196"/>
      <c r="E13" s="1197"/>
      <c r="F13" s="1197"/>
      <c r="G13" s="880"/>
      <c r="H13" s="881"/>
      <c r="I13" s="881"/>
      <c r="J13" s="880"/>
      <c r="K13" s="880"/>
      <c r="L13" s="392"/>
      <c r="M13" s="392"/>
    </row>
    <row r="14" spans="1:61" ht="15.75" x14ac:dyDescent="0.25">
      <c r="A14" s="2288" t="s">
        <v>761</v>
      </c>
      <c r="B14" s="2289"/>
      <c r="C14" s="2289"/>
      <c r="D14" s="2289"/>
      <c r="E14" s="2289"/>
      <c r="F14" s="2290"/>
      <c r="G14" s="882"/>
      <c r="H14" s="883"/>
      <c r="I14" s="883"/>
      <c r="J14" s="883"/>
      <c r="K14" s="883"/>
      <c r="L14" s="393"/>
      <c r="M14" s="393"/>
    </row>
    <row r="15" spans="1:61" ht="34.15" customHeight="1" x14ac:dyDescent="0.25">
      <c r="A15" s="2304" t="s">
        <v>762</v>
      </c>
      <c r="B15" s="2305"/>
      <c r="C15" s="2305"/>
      <c r="D15" s="2305"/>
      <c r="E15" s="2305"/>
      <c r="F15" s="2306"/>
      <c r="G15" s="884"/>
      <c r="H15" s="885"/>
      <c r="I15" s="886"/>
      <c r="J15" s="886"/>
      <c r="K15" s="886"/>
      <c r="L15" s="395"/>
      <c r="M15" s="395"/>
    </row>
    <row r="16" spans="1:61" ht="12.75" customHeight="1" x14ac:dyDescent="0.25">
      <c r="A16" s="396"/>
      <c r="B16" s="396"/>
      <c r="C16" s="396"/>
      <c r="D16" s="396"/>
      <c r="E16" s="887"/>
      <c r="F16" s="887"/>
      <c r="G16" s="886"/>
      <c r="H16" s="886"/>
      <c r="I16" s="886"/>
    </row>
    <row r="17" spans="1:20" ht="10.9" customHeight="1" x14ac:dyDescent="0.25">
      <c r="A17" s="396"/>
      <c r="B17" s="396"/>
      <c r="C17" s="396"/>
      <c r="D17" s="396"/>
      <c r="E17" s="887"/>
      <c r="F17" s="887"/>
      <c r="G17" s="886"/>
      <c r="H17" s="889"/>
      <c r="I17" s="886"/>
      <c r="J17" s="890"/>
      <c r="K17" s="891"/>
      <c r="L17" s="397"/>
      <c r="M17" s="398"/>
      <c r="N17" s="399"/>
      <c r="O17" s="400"/>
      <c r="P17" s="401"/>
      <c r="Q17" s="402"/>
      <c r="R17" s="401"/>
      <c r="S17" s="403"/>
      <c r="T17" s="399"/>
    </row>
    <row r="18" spans="1:20" ht="15" customHeight="1" x14ac:dyDescent="0.25">
      <c r="A18" s="2288" t="s">
        <v>1611</v>
      </c>
      <c r="B18" s="2289"/>
      <c r="C18" s="2289"/>
      <c r="D18" s="2289"/>
      <c r="E18" s="2289"/>
      <c r="F18" s="2290"/>
      <c r="G18" s="874"/>
      <c r="H18" s="892"/>
      <c r="I18" s="874"/>
    </row>
    <row r="19" spans="1:20" ht="79.900000000000006" customHeight="1" x14ac:dyDescent="0.25">
      <c r="A19" s="2301" t="s">
        <v>1755</v>
      </c>
      <c r="B19" s="2302"/>
      <c r="C19" s="2302"/>
      <c r="D19" s="2302"/>
      <c r="E19" s="2302"/>
      <c r="F19" s="2303"/>
      <c r="G19" s="874"/>
      <c r="H19" s="892"/>
      <c r="I19" s="874"/>
    </row>
    <row r="20" spans="1:20" s="369" customFormat="1" ht="32.25" customHeight="1" x14ac:dyDescent="0.25">
      <c r="A20" s="2291" t="s">
        <v>763</v>
      </c>
      <c r="B20" s="2292"/>
      <c r="C20" s="1198" t="s">
        <v>764</v>
      </c>
      <c r="D20" s="1198" t="s">
        <v>693</v>
      </c>
      <c r="E20" s="1199" t="s">
        <v>765</v>
      </c>
      <c r="F20" s="1199" t="s">
        <v>766</v>
      </c>
      <c r="G20" s="874"/>
      <c r="H20" s="874"/>
      <c r="I20" s="874"/>
      <c r="K20" s="893"/>
    </row>
    <row r="21" spans="1:20" s="369" customFormat="1" ht="19.5" customHeight="1" x14ac:dyDescent="0.25">
      <c r="A21" s="2293" t="s">
        <v>687</v>
      </c>
      <c r="B21" s="2294"/>
      <c r="C21" s="1220" t="s">
        <v>154</v>
      </c>
      <c r="D21" s="1221" t="s">
        <v>688</v>
      </c>
      <c r="E21" s="1222" t="s">
        <v>831</v>
      </c>
      <c r="F21" s="1223" t="s">
        <v>132</v>
      </c>
      <c r="G21" s="894"/>
      <c r="H21" s="874"/>
      <c r="I21" s="874"/>
      <c r="K21" s="874"/>
    </row>
    <row r="22" spans="1:20" x14ac:dyDescent="0.25">
      <c r="A22" s="2295">
        <f>IF(A21="Negativa o abstención",3,IF(A21="Con salvedades",2,IF(A21="Sin salvedades",1,0)))</f>
        <v>2</v>
      </c>
      <c r="B22" s="2296"/>
      <c r="C22" s="1200">
        <f>IF(C21="Ineficiente",3,IF(C21="Con deficiencias",2,IF(C21="Eficiente",1,0)))</f>
        <v>3</v>
      </c>
      <c r="D22" s="1200">
        <f>IF(D21="No fenecida",3,IF(D21="Fenecida",1,0))</f>
        <v>3</v>
      </c>
      <c r="E22" s="1201">
        <f>IF(E21="Ineficiente",3,IF(E21="Parcialmente Adecuado",2,IF(E21="Eficiente /Adecuado",1,0)))</f>
        <v>2</v>
      </c>
      <c r="F22" s="1201">
        <f>IF(F21="Alto-Crítico",3,IF(F21="Medio",2,IF(F21="Bajo",1,0)))</f>
        <v>2</v>
      </c>
      <c r="G22" s="874"/>
      <c r="H22" s="874"/>
      <c r="I22" s="874"/>
      <c r="K22" s="874"/>
      <c r="L22" s="369"/>
      <c r="M22" s="369"/>
    </row>
    <row r="23" spans="1:20" x14ac:dyDescent="0.25">
      <c r="E23" s="895"/>
      <c r="F23" s="895"/>
      <c r="G23" s="874"/>
      <c r="H23" s="874"/>
      <c r="I23" s="874"/>
      <c r="K23" s="874"/>
      <c r="L23" s="369"/>
      <c r="M23" s="369"/>
    </row>
    <row r="24" spans="1:20" ht="48.75" customHeight="1" x14ac:dyDescent="0.25">
      <c r="A24" s="2297" t="s">
        <v>767</v>
      </c>
      <c r="B24" s="2298"/>
      <c r="C24" s="1202" t="s">
        <v>768</v>
      </c>
      <c r="D24" s="1202" t="s">
        <v>769</v>
      </c>
      <c r="G24" s="874"/>
      <c r="H24" s="874"/>
      <c r="I24" s="874"/>
      <c r="K24" s="874"/>
      <c r="L24" s="369"/>
      <c r="M24" s="369"/>
    </row>
    <row r="25" spans="1:20" ht="19.5" customHeight="1" x14ac:dyDescent="0.25">
      <c r="A25" s="2299">
        <f>SUM(A22:F22)</f>
        <v>12</v>
      </c>
      <c r="B25" s="2300"/>
      <c r="C25" s="1203" t="str">
        <f>IF(ISERROR(A25),"SIN VALOR",IF(AND(A25&lt;6),D27,IF(AND(A25&gt;=6,A25&lt;11),D28,IF(AND(A25&gt;=11),D29))))</f>
        <v>Entre &gt;=0,25% y &lt;=1,17%</v>
      </c>
      <c r="D25" s="1629">
        <v>0.01</v>
      </c>
      <c r="G25" s="874"/>
      <c r="H25" s="874"/>
      <c r="I25" s="874"/>
      <c r="J25" s="874"/>
      <c r="K25" s="874"/>
      <c r="L25" s="369"/>
      <c r="M25" s="369"/>
    </row>
    <row r="26" spans="1:20" s="404" customFormat="1" x14ac:dyDescent="0.25">
      <c r="E26" s="896"/>
      <c r="F26" s="897"/>
      <c r="G26" s="898"/>
      <c r="H26" s="898"/>
      <c r="I26" s="898"/>
      <c r="J26" s="898"/>
      <c r="K26" s="898"/>
      <c r="L26" s="405"/>
      <c r="M26" s="405"/>
    </row>
    <row r="27" spans="1:20" s="405" customFormat="1" x14ac:dyDescent="0.25">
      <c r="A27" s="2299" t="s">
        <v>770</v>
      </c>
      <c r="B27" s="2300"/>
      <c r="C27" s="1204" t="s">
        <v>771</v>
      </c>
      <c r="D27" s="1205" t="s">
        <v>772</v>
      </c>
      <c r="E27" s="898"/>
      <c r="F27" s="898"/>
      <c r="G27" s="898"/>
      <c r="H27" s="898"/>
      <c r="I27" s="898"/>
      <c r="J27" s="898"/>
      <c r="K27" s="898"/>
    </row>
    <row r="28" spans="1:20" s="404" customFormat="1" ht="17.25" customHeight="1" x14ac:dyDescent="0.25">
      <c r="A28" s="2299" t="s">
        <v>773</v>
      </c>
      <c r="B28" s="2300"/>
      <c r="C28" s="1204" t="s">
        <v>774</v>
      </c>
      <c r="D28" s="1205" t="s">
        <v>775</v>
      </c>
      <c r="E28" s="896"/>
      <c r="F28" s="897"/>
      <c r="G28" s="898"/>
      <c r="H28" s="898"/>
      <c r="I28" s="898"/>
      <c r="J28" s="898"/>
      <c r="K28" s="898"/>
      <c r="L28" s="405"/>
      <c r="M28" s="405"/>
    </row>
    <row r="29" spans="1:20" ht="17.25" customHeight="1" x14ac:dyDescent="0.25">
      <c r="A29" s="2299" t="s">
        <v>776</v>
      </c>
      <c r="B29" s="2300"/>
      <c r="C29" s="1204" t="s">
        <v>777</v>
      </c>
      <c r="D29" s="1205" t="s">
        <v>778</v>
      </c>
      <c r="F29" s="874"/>
      <c r="G29" s="874"/>
      <c r="H29" s="874"/>
      <c r="I29" s="874"/>
      <c r="J29" s="874"/>
      <c r="K29" s="874"/>
      <c r="L29" s="369"/>
      <c r="M29" s="369"/>
    </row>
    <row r="30" spans="1:20" ht="17.25" customHeight="1" x14ac:dyDescent="0.25">
      <c r="A30" s="1206"/>
      <c r="B30" s="1206"/>
      <c r="C30" s="1206"/>
      <c r="D30" s="1206"/>
      <c r="E30" s="899"/>
      <c r="F30" s="874"/>
      <c r="G30" s="874"/>
      <c r="H30" s="874"/>
      <c r="I30" s="874"/>
      <c r="J30" s="874"/>
      <c r="K30" s="874"/>
      <c r="L30" s="369"/>
      <c r="M30" s="369"/>
    </row>
    <row r="31" spans="1:20" ht="31.9" customHeight="1" x14ac:dyDescent="0.25">
      <c r="A31" s="2345" t="s">
        <v>1761</v>
      </c>
      <c r="B31" s="2345"/>
      <c r="C31" s="879"/>
      <c r="D31" s="879"/>
      <c r="E31" s="879"/>
      <c r="F31" s="879"/>
      <c r="G31" s="885"/>
      <c r="H31" s="885"/>
      <c r="I31" s="885"/>
      <c r="J31" s="885"/>
      <c r="K31" s="885"/>
      <c r="L31" s="394"/>
    </row>
    <row r="32" spans="1:20" ht="15.6" customHeight="1" x14ac:dyDescent="0.25">
      <c r="A32" s="397"/>
      <c r="B32" s="397"/>
      <c r="C32" s="879"/>
      <c r="D32" s="879"/>
      <c r="E32" s="879"/>
      <c r="F32" s="879"/>
      <c r="G32" s="885"/>
      <c r="H32" s="885"/>
      <c r="I32" s="885"/>
      <c r="J32" s="885"/>
      <c r="K32" s="885"/>
      <c r="L32" s="394"/>
    </row>
    <row r="33" spans="1:20" ht="27.75" customHeight="1" x14ac:dyDescent="0.25">
      <c r="A33" s="2346" t="s">
        <v>1724</v>
      </c>
      <c r="B33" s="2346"/>
      <c r="C33" s="879"/>
      <c r="D33" s="879"/>
      <c r="E33" s="879"/>
      <c r="F33" s="879"/>
      <c r="G33" s="2287"/>
      <c r="H33" s="2287"/>
      <c r="I33" s="2287"/>
      <c r="J33" s="2287"/>
      <c r="K33" s="2336"/>
      <c r="L33" s="2336"/>
    </row>
    <row r="34" spans="1:20" ht="26.45" customHeight="1" x14ac:dyDescent="0.25">
      <c r="A34" s="1552" t="s">
        <v>469</v>
      </c>
      <c r="B34" s="1586">
        <v>1000</v>
      </c>
      <c r="D34" s="879"/>
      <c r="F34" s="879"/>
      <c r="G34" s="2337"/>
      <c r="H34" s="2337"/>
      <c r="I34" s="2337"/>
      <c r="J34" s="2337"/>
      <c r="K34" s="2336"/>
      <c r="L34" s="2336"/>
    </row>
    <row r="35" spans="1:20" ht="24.6" customHeight="1" x14ac:dyDescent="0.25">
      <c r="A35" s="1553" t="s">
        <v>1725</v>
      </c>
      <c r="B35" s="1544">
        <f>IF(B34="","",D25)</f>
        <v>0.01</v>
      </c>
      <c r="C35" s="879"/>
      <c r="D35" s="879"/>
      <c r="F35" s="879"/>
      <c r="G35" s="900"/>
      <c r="H35" s="901"/>
      <c r="I35" s="901"/>
      <c r="J35" s="901"/>
      <c r="K35" s="902"/>
      <c r="L35" s="407"/>
      <c r="P35" s="408"/>
    </row>
    <row r="36" spans="1:20" ht="24.6" customHeight="1" x14ac:dyDescent="0.25">
      <c r="A36" s="1553" t="s">
        <v>779</v>
      </c>
      <c r="B36" s="1545">
        <f>IF(B34="","",B34*B35)</f>
        <v>10</v>
      </c>
      <c r="C36" s="879"/>
      <c r="D36" s="879"/>
      <c r="E36" s="879"/>
      <c r="F36" s="879"/>
      <c r="G36" s="903"/>
      <c r="H36" s="904"/>
      <c r="I36" s="905"/>
      <c r="J36" s="904"/>
      <c r="K36" s="906"/>
      <c r="L36" s="409"/>
      <c r="P36" s="408"/>
    </row>
    <row r="37" spans="1:20" ht="25.15" customHeight="1" x14ac:dyDescent="0.25">
      <c r="A37" s="1550"/>
      <c r="B37" s="1551"/>
      <c r="C37" s="879"/>
      <c r="D37" s="879"/>
      <c r="E37" s="879"/>
      <c r="F37" s="879"/>
      <c r="G37" s="913"/>
      <c r="H37" s="1548"/>
      <c r="I37" s="915"/>
      <c r="J37" s="1548"/>
      <c r="K37" s="1549"/>
      <c r="L37" s="412"/>
      <c r="P37" s="408"/>
    </row>
    <row r="38" spans="1:20" ht="31.9" customHeight="1" x14ac:dyDescent="0.25">
      <c r="A38" s="2347" t="s">
        <v>1726</v>
      </c>
      <c r="B38" s="2347"/>
      <c r="C38" s="879"/>
      <c r="D38" s="879"/>
      <c r="E38" s="874"/>
      <c r="F38" s="874"/>
      <c r="G38" s="874"/>
      <c r="H38" s="874"/>
      <c r="I38" s="874"/>
      <c r="J38" s="874"/>
      <c r="K38" s="874"/>
      <c r="L38" s="369"/>
      <c r="P38" s="410"/>
    </row>
    <row r="39" spans="1:20" ht="25.15" customHeight="1" x14ac:dyDescent="0.25">
      <c r="A39" s="1554" t="s">
        <v>498</v>
      </c>
      <c r="B39" s="1586">
        <v>1000</v>
      </c>
      <c r="C39" s="879"/>
      <c r="D39" s="879"/>
      <c r="E39" s="879"/>
      <c r="F39" s="879"/>
      <c r="G39" s="2339"/>
      <c r="H39" s="2339"/>
      <c r="I39" s="2339"/>
      <c r="J39" s="2339"/>
      <c r="K39" s="2338"/>
      <c r="L39" s="2338"/>
    </row>
    <row r="40" spans="1:20" ht="25.15" customHeight="1" x14ac:dyDescent="0.25">
      <c r="A40" s="1555" t="s">
        <v>1725</v>
      </c>
      <c r="B40" s="1546">
        <f>IF(B39="","",D25)</f>
        <v>0.01</v>
      </c>
      <c r="C40" s="879"/>
      <c r="D40" s="879"/>
      <c r="E40" s="879"/>
      <c r="F40" s="879"/>
      <c r="G40" s="2340"/>
      <c r="H40" s="2340"/>
      <c r="I40" s="2340"/>
      <c r="J40" s="2340"/>
      <c r="K40" s="2338"/>
      <c r="L40" s="2338"/>
    </row>
    <row r="41" spans="1:20" ht="25.15" customHeight="1" x14ac:dyDescent="0.25">
      <c r="A41" s="1555" t="s">
        <v>779</v>
      </c>
      <c r="B41" s="1547">
        <f>IF(B39="","",B39*B40)</f>
        <v>10</v>
      </c>
      <c r="C41" s="879"/>
      <c r="D41" s="879"/>
      <c r="E41" s="1556"/>
      <c r="F41" s="907"/>
      <c r="G41" s="908"/>
      <c r="H41" s="909"/>
      <c r="I41" s="910"/>
      <c r="J41" s="909"/>
      <c r="K41" s="911"/>
      <c r="L41" s="411"/>
    </row>
    <row r="42" spans="1:20" ht="19.899999999999999" customHeight="1" x14ac:dyDescent="0.25">
      <c r="A42" s="879"/>
      <c r="B42" s="879"/>
      <c r="C42" s="879"/>
      <c r="D42" s="879"/>
      <c r="E42" s="1557"/>
      <c r="F42" s="912"/>
      <c r="G42" s="913"/>
      <c r="H42" s="914"/>
      <c r="I42" s="915"/>
      <c r="J42" s="914"/>
      <c r="K42" s="916"/>
      <c r="L42" s="412"/>
      <c r="M42" s="413"/>
      <c r="N42" s="414"/>
      <c r="O42" s="415"/>
      <c r="P42" s="416"/>
      <c r="Q42" s="417"/>
      <c r="R42" s="416"/>
      <c r="S42" s="418"/>
      <c r="T42" s="414"/>
    </row>
    <row r="43" spans="1:20" customFormat="1" ht="31.9" customHeight="1" x14ac:dyDescent="0.25">
      <c r="A43" s="2348" t="s">
        <v>1729</v>
      </c>
      <c r="B43" s="2349"/>
      <c r="C43" s="2350"/>
      <c r="D43" s="917"/>
      <c r="E43" s="1631"/>
      <c r="F43" s="917"/>
      <c r="G43" s="917"/>
      <c r="H43" s="917"/>
      <c r="I43" s="917"/>
      <c r="J43" s="917"/>
      <c r="K43" s="917"/>
    </row>
    <row r="44" spans="1:20" customFormat="1" ht="21" customHeight="1" x14ac:dyDescent="0.25">
      <c r="A44" s="1541" t="s">
        <v>780</v>
      </c>
      <c r="B44" s="1207" t="s">
        <v>782</v>
      </c>
      <c r="C44" s="1207" t="s">
        <v>783</v>
      </c>
      <c r="D44" s="391"/>
      <c r="E44" s="917"/>
      <c r="F44" s="917"/>
      <c r="G44" s="917"/>
      <c r="H44" s="917"/>
      <c r="I44" s="917"/>
      <c r="J44" s="917"/>
      <c r="K44" s="917"/>
    </row>
    <row r="45" spans="1:20" customFormat="1" ht="33" customHeight="1" x14ac:dyDescent="0.25">
      <c r="A45" s="1558" t="s">
        <v>784</v>
      </c>
      <c r="B45" s="1382">
        <v>500</v>
      </c>
      <c r="C45" s="1547">
        <f t="shared" ref="C45:C50" si="0">IF(B45="","",B45*$D$25)</f>
        <v>5</v>
      </c>
      <c r="D45" s="391"/>
      <c r="E45" s="917"/>
      <c r="F45" s="917"/>
      <c r="G45" s="917"/>
      <c r="H45" s="917"/>
      <c r="I45" s="917"/>
      <c r="J45" s="917"/>
      <c r="K45" s="917"/>
    </row>
    <row r="46" spans="1:20" customFormat="1" ht="34.5" customHeight="1" x14ac:dyDescent="0.25">
      <c r="A46" s="1558" t="s">
        <v>787</v>
      </c>
      <c r="B46" s="1382">
        <v>300</v>
      </c>
      <c r="C46" s="1547">
        <f t="shared" si="0"/>
        <v>3</v>
      </c>
      <c r="D46" s="391"/>
      <c r="E46" s="917"/>
      <c r="F46" s="917"/>
      <c r="G46" s="917"/>
      <c r="H46" s="917"/>
      <c r="I46" s="917"/>
      <c r="J46" s="917"/>
      <c r="K46" s="917"/>
    </row>
    <row r="47" spans="1:20" customFormat="1" ht="25.5" customHeight="1" x14ac:dyDescent="0.25">
      <c r="A47" s="1558" t="s">
        <v>789</v>
      </c>
      <c r="B47" s="1382">
        <v>200</v>
      </c>
      <c r="C47" s="1547">
        <f t="shared" si="0"/>
        <v>2</v>
      </c>
      <c r="D47" s="391"/>
      <c r="E47" s="917"/>
      <c r="F47" s="917"/>
      <c r="G47" s="917"/>
      <c r="H47" s="917"/>
      <c r="I47" s="917"/>
      <c r="J47" s="917"/>
      <c r="K47" s="917"/>
    </row>
    <row r="48" spans="1:20" customFormat="1" ht="23.45" customHeight="1" x14ac:dyDescent="0.25">
      <c r="A48" s="1558" t="s">
        <v>788</v>
      </c>
      <c r="B48" s="1382">
        <v>700</v>
      </c>
      <c r="C48" s="1547">
        <f t="shared" si="0"/>
        <v>7</v>
      </c>
      <c r="D48" s="391"/>
      <c r="E48" s="917"/>
      <c r="F48" s="917"/>
      <c r="G48" s="917"/>
      <c r="H48" s="917"/>
      <c r="I48" s="917"/>
      <c r="J48" s="917"/>
      <c r="K48" s="917"/>
    </row>
    <row r="49" spans="1:13" customFormat="1" ht="25.5" customHeight="1" x14ac:dyDescent="0.25">
      <c r="A49" s="1558" t="s">
        <v>518</v>
      </c>
      <c r="B49" s="1382">
        <v>500</v>
      </c>
      <c r="C49" s="1547">
        <f t="shared" si="0"/>
        <v>5</v>
      </c>
      <c r="D49" s="391"/>
      <c r="E49" s="917"/>
      <c r="F49" s="917"/>
      <c r="G49" s="917"/>
      <c r="H49" s="917"/>
      <c r="I49" s="917"/>
      <c r="J49" s="917"/>
      <c r="K49" s="917"/>
    </row>
    <row r="50" spans="1:13" customFormat="1" ht="24.75" customHeight="1" x14ac:dyDescent="0.25">
      <c r="A50" s="1558" t="s">
        <v>524</v>
      </c>
      <c r="B50" s="1382">
        <v>200</v>
      </c>
      <c r="C50" s="1547">
        <f t="shared" si="0"/>
        <v>2</v>
      </c>
      <c r="D50" s="391"/>
      <c r="E50" s="917"/>
      <c r="F50" s="917"/>
      <c r="G50" s="917"/>
      <c r="H50" s="917"/>
      <c r="I50" s="917"/>
      <c r="J50" s="917"/>
      <c r="K50" s="917"/>
    </row>
    <row r="51" spans="1:13" customFormat="1" ht="13.5" customHeight="1" x14ac:dyDescent="0.25">
      <c r="A51" s="1559"/>
      <c r="B51" s="1382"/>
      <c r="C51" s="1547" t="str">
        <f>IF(B51="","",B51*#REF!)</f>
        <v/>
      </c>
      <c r="D51" s="391"/>
      <c r="E51" s="917"/>
      <c r="F51" s="917"/>
      <c r="G51" s="917"/>
      <c r="H51" s="917"/>
      <c r="I51" s="917"/>
      <c r="J51" s="917"/>
      <c r="K51" s="917"/>
    </row>
    <row r="52" spans="1:13" customFormat="1" ht="13.5" customHeight="1" x14ac:dyDescent="0.25">
      <c r="A52" s="1559"/>
      <c r="B52" s="1382"/>
      <c r="C52" s="1547" t="str">
        <f>IF(B52="","",B52*#REF!)</f>
        <v/>
      </c>
      <c r="D52" s="391"/>
      <c r="E52" s="917"/>
      <c r="F52" s="917"/>
      <c r="G52" s="917"/>
      <c r="H52" s="917"/>
      <c r="I52" s="917"/>
      <c r="J52" s="917"/>
      <c r="K52" s="917"/>
    </row>
    <row r="53" spans="1:13" customFormat="1" ht="13.5" customHeight="1" x14ac:dyDescent="0.25">
      <c r="A53" s="1559"/>
      <c r="B53" s="1382"/>
      <c r="C53" s="1547" t="str">
        <f>IF(B53="","",B53*#REF!)</f>
        <v/>
      </c>
      <c r="D53" s="391"/>
      <c r="E53" s="917"/>
      <c r="F53" s="917"/>
      <c r="G53" s="917"/>
      <c r="H53" s="917"/>
      <c r="I53" s="917"/>
      <c r="J53" s="917"/>
      <c r="K53" s="917"/>
    </row>
    <row r="54" spans="1:13" customFormat="1" ht="13.5" customHeight="1" x14ac:dyDescent="0.25">
      <c r="A54" s="1559"/>
      <c r="B54" s="1382"/>
      <c r="C54" s="1547" t="str">
        <f>IF(B54="","",B54*#REF!)</f>
        <v/>
      </c>
      <c r="D54" s="391"/>
      <c r="E54" s="917"/>
      <c r="F54" s="917"/>
      <c r="G54" s="917"/>
      <c r="H54" s="917"/>
      <c r="I54" s="917"/>
      <c r="J54" s="917"/>
      <c r="K54" s="917"/>
    </row>
    <row r="55" spans="1:13" customFormat="1" ht="13.5" customHeight="1" x14ac:dyDescent="0.25">
      <c r="A55" s="1559"/>
      <c r="B55" s="1382"/>
      <c r="C55" s="1547" t="str">
        <f>IF(B55="","",B55*#REF!)</f>
        <v/>
      </c>
      <c r="D55" s="391"/>
      <c r="E55" s="917"/>
      <c r="F55" s="917"/>
      <c r="G55" s="917"/>
      <c r="H55" s="917"/>
      <c r="I55" s="917"/>
      <c r="J55" s="917"/>
      <c r="K55" s="917"/>
    </row>
    <row r="56" spans="1:13" customFormat="1" ht="13.5" customHeight="1" x14ac:dyDescent="0.25">
      <c r="A56" s="1559"/>
      <c r="B56" s="1382"/>
      <c r="C56" s="1547" t="str">
        <f>IF(B56="","",B56*#REF!)</f>
        <v/>
      </c>
      <c r="D56" s="391"/>
      <c r="E56" s="917"/>
      <c r="F56" s="917"/>
      <c r="G56" s="917"/>
      <c r="H56" s="917"/>
      <c r="I56" s="917"/>
      <c r="J56" s="917"/>
      <c r="K56" s="917"/>
    </row>
    <row r="57" spans="1:13" customFormat="1" ht="11.45" customHeight="1" x14ac:dyDescent="0.25">
      <c r="E57" s="917"/>
      <c r="F57" s="917"/>
      <c r="G57" s="917"/>
      <c r="H57" s="917"/>
      <c r="I57" s="917"/>
      <c r="J57" s="917"/>
      <c r="K57" s="917"/>
    </row>
    <row r="58" spans="1:13" customFormat="1" ht="11.45" customHeight="1" x14ac:dyDescent="0.25">
      <c r="E58" s="917"/>
      <c r="F58" s="917"/>
      <c r="G58" s="917"/>
      <c r="H58" s="917"/>
      <c r="I58" s="917"/>
      <c r="J58" s="917"/>
      <c r="K58" s="917"/>
    </row>
    <row r="59" spans="1:13" s="369" customFormat="1" ht="21.6" customHeight="1" x14ac:dyDescent="0.25">
      <c r="A59" s="2335" t="s">
        <v>1588</v>
      </c>
      <c r="B59" s="2335"/>
      <c r="C59" s="2335"/>
      <c r="D59" s="2335"/>
      <c r="E59" s="2335"/>
      <c r="F59" s="2335"/>
      <c r="G59" s="874"/>
      <c r="H59" s="874"/>
      <c r="I59" s="1622"/>
      <c r="J59" s="1622"/>
      <c r="K59" s="1622"/>
      <c r="L59" s="1623"/>
      <c r="M59" s="1623"/>
    </row>
    <row r="60" spans="1:13" s="404" customFormat="1" ht="46.15" customHeight="1" x14ac:dyDescent="0.25">
      <c r="A60" s="2344" t="s">
        <v>790</v>
      </c>
      <c r="B60" s="2344"/>
      <c r="C60" s="2344"/>
      <c r="D60" s="2344"/>
      <c r="E60" s="2344"/>
      <c r="F60" s="2344"/>
      <c r="G60" s="874"/>
      <c r="H60" s="874"/>
      <c r="I60" s="898"/>
      <c r="J60" s="898"/>
      <c r="K60" s="898"/>
      <c r="L60" s="405"/>
      <c r="M60" s="405"/>
    </row>
    <row r="61" spans="1:13" s="404" customFormat="1" ht="8.4499999999999993" customHeight="1" x14ac:dyDescent="0.25">
      <c r="A61" s="2351"/>
      <c r="B61" s="2351"/>
      <c r="C61" s="2351"/>
      <c r="D61" s="2351"/>
      <c r="E61" s="2351"/>
      <c r="F61" s="2351"/>
      <c r="G61" s="874"/>
      <c r="H61" s="874"/>
      <c r="I61" s="898"/>
      <c r="J61" s="898"/>
      <c r="K61" s="898"/>
      <c r="L61" s="405"/>
      <c r="M61" s="405"/>
    </row>
    <row r="62" spans="1:13" s="404" customFormat="1" ht="15.75" hidden="1" customHeight="1" x14ac:dyDescent="0.25">
      <c r="A62" s="2351"/>
      <c r="B62" s="2351"/>
      <c r="C62" s="2351"/>
      <c r="D62" s="2351"/>
      <c r="E62" s="2351"/>
      <c r="F62" s="2351"/>
      <c r="G62" s="874"/>
      <c r="H62" s="874"/>
      <c r="I62" s="898"/>
      <c r="J62" s="898"/>
      <c r="K62" s="898"/>
      <c r="L62" s="405"/>
      <c r="M62" s="405"/>
    </row>
    <row r="63" spans="1:13" ht="10.9" customHeight="1" x14ac:dyDescent="0.25">
      <c r="A63" s="2351"/>
      <c r="B63" s="2351"/>
      <c r="C63" s="2351"/>
      <c r="D63" s="2351"/>
      <c r="E63" s="2351"/>
      <c r="F63" s="2351"/>
      <c r="G63" s="874"/>
      <c r="H63" s="874"/>
      <c r="I63" s="874"/>
      <c r="J63" s="874"/>
      <c r="K63" s="874"/>
      <c r="L63" s="369"/>
      <c r="M63" s="369"/>
    </row>
    <row r="64" spans="1:13" ht="78" customHeight="1" x14ac:dyDescent="0.25">
      <c r="A64" s="2362" t="s">
        <v>1759</v>
      </c>
      <c r="B64" s="2362"/>
      <c r="C64" s="2362"/>
      <c r="D64" s="2362"/>
      <c r="E64" s="2362"/>
      <c r="F64" s="2362"/>
      <c r="G64" s="874"/>
      <c r="H64" s="874"/>
      <c r="I64" s="874"/>
      <c r="J64" s="874"/>
      <c r="K64" s="874"/>
      <c r="L64" s="369"/>
      <c r="M64" s="369"/>
    </row>
    <row r="65" spans="1:11" s="404" customFormat="1" hidden="1" x14ac:dyDescent="0.25">
      <c r="A65" s="2352" t="s">
        <v>791</v>
      </c>
      <c r="B65" s="2353"/>
      <c r="C65" s="2353"/>
      <c r="D65" s="2353"/>
      <c r="E65" s="2353"/>
      <c r="F65" s="2354"/>
      <c r="G65" s="896"/>
      <c r="H65" s="896"/>
      <c r="I65" s="896"/>
      <c r="J65" s="896"/>
      <c r="K65" s="896"/>
    </row>
    <row r="66" spans="1:11" s="404" customFormat="1" ht="60.75" hidden="1" customHeight="1" x14ac:dyDescent="0.25">
      <c r="A66" s="2315" t="s">
        <v>792</v>
      </c>
      <c r="B66" s="2315"/>
      <c r="C66" s="2315"/>
      <c r="D66" s="2315"/>
      <c r="E66" s="2315"/>
      <c r="F66" s="2315"/>
      <c r="G66" s="896"/>
      <c r="H66" s="896"/>
      <c r="I66" s="896"/>
      <c r="J66" s="896"/>
      <c r="K66" s="896"/>
    </row>
    <row r="67" spans="1:11" s="404" customFormat="1" ht="48" hidden="1" customHeight="1" x14ac:dyDescent="0.25">
      <c r="A67" s="1208" t="s">
        <v>793</v>
      </c>
      <c r="B67" s="1209" t="s">
        <v>794</v>
      </c>
      <c r="C67" s="1210" t="s">
        <v>795</v>
      </c>
      <c r="D67" s="1211" t="s">
        <v>796</v>
      </c>
      <c r="E67" s="1212" t="s">
        <v>797</v>
      </c>
      <c r="F67" s="1212" t="s">
        <v>798</v>
      </c>
      <c r="G67" s="918"/>
      <c r="H67" s="918"/>
      <c r="I67" s="896"/>
      <c r="J67" s="896"/>
      <c r="K67" s="896"/>
    </row>
    <row r="68" spans="1:11" s="404" customFormat="1" ht="22.5" hidden="1" customHeight="1" x14ac:dyDescent="0.25">
      <c r="A68" s="1213" t="s">
        <v>675</v>
      </c>
      <c r="B68" s="1214">
        <v>0.04</v>
      </c>
      <c r="C68" s="1215" t="s">
        <v>799</v>
      </c>
      <c r="D68" s="1216" t="s">
        <v>800</v>
      </c>
      <c r="E68" s="1217">
        <f>+D35</f>
        <v>0</v>
      </c>
      <c r="F68" s="1218">
        <f>+E68*B68</f>
        <v>0</v>
      </c>
      <c r="G68" s="896"/>
      <c r="H68" s="896"/>
      <c r="I68" s="896"/>
      <c r="J68" s="896"/>
      <c r="K68" s="896"/>
    </row>
    <row r="69" spans="1:11" s="404" customFormat="1" ht="29.25" hidden="1" customHeight="1" x14ac:dyDescent="0.25">
      <c r="A69" s="1213"/>
      <c r="B69" s="1214"/>
      <c r="C69" s="1216"/>
      <c r="D69" s="1216"/>
      <c r="E69" s="1219"/>
      <c r="F69" s="1218">
        <f>+E69*B69</f>
        <v>0</v>
      </c>
      <c r="G69" s="896"/>
      <c r="H69" s="896"/>
      <c r="I69" s="896"/>
      <c r="J69" s="896"/>
      <c r="K69" s="896"/>
    </row>
    <row r="70" spans="1:11" s="404" customFormat="1" hidden="1" x14ac:dyDescent="0.25">
      <c r="A70" s="1213"/>
      <c r="B70" s="1214"/>
      <c r="C70" s="1216"/>
      <c r="D70" s="1216"/>
      <c r="E70" s="1219"/>
      <c r="F70" s="1218">
        <f>+E70*B70</f>
        <v>0</v>
      </c>
      <c r="G70" s="896"/>
      <c r="H70" s="896"/>
      <c r="I70" s="896"/>
      <c r="J70" s="896"/>
      <c r="K70" s="896"/>
    </row>
    <row r="71" spans="1:11" s="404" customFormat="1" ht="18" hidden="1" customHeight="1" x14ac:dyDescent="0.25">
      <c r="A71" s="1213"/>
      <c r="B71" s="1214"/>
      <c r="C71" s="1216"/>
      <c r="D71" s="1216"/>
      <c r="E71" s="1219"/>
      <c r="F71" s="1218">
        <f>+E71*B71</f>
        <v>0</v>
      </c>
      <c r="G71" s="896"/>
      <c r="H71" s="896"/>
      <c r="I71" s="896"/>
      <c r="J71" s="896"/>
      <c r="K71" s="896"/>
    </row>
    <row r="72" spans="1:11" s="404" customFormat="1" ht="15.75" hidden="1" customHeight="1" x14ac:dyDescent="0.25">
      <c r="A72" s="1213"/>
      <c r="B72" s="1214"/>
      <c r="C72" s="1216"/>
      <c r="D72" s="1216"/>
      <c r="E72" s="1219"/>
      <c r="F72" s="1218">
        <f>+E72*B72</f>
        <v>0</v>
      </c>
      <c r="G72" s="896"/>
      <c r="H72" s="896"/>
      <c r="I72" s="896"/>
      <c r="J72" s="896"/>
      <c r="K72" s="896"/>
    </row>
    <row r="73" spans="1:11" s="404" customFormat="1" hidden="1" x14ac:dyDescent="0.25">
      <c r="E73" s="896"/>
      <c r="F73" s="896"/>
      <c r="G73" s="896"/>
      <c r="H73" s="896"/>
      <c r="I73" s="896"/>
      <c r="J73" s="896"/>
      <c r="K73" s="896"/>
    </row>
    <row r="74" spans="1:11" s="404" customFormat="1" ht="20.25" customHeight="1" x14ac:dyDescent="0.25">
      <c r="A74" s="2356" t="s">
        <v>1762</v>
      </c>
      <c r="B74" s="2357"/>
      <c r="C74" s="2357"/>
      <c r="D74" s="2357"/>
      <c r="E74" s="2357"/>
      <c r="F74" s="2357"/>
      <c r="G74" s="2358"/>
      <c r="H74" s="2335" t="s">
        <v>1758</v>
      </c>
      <c r="I74" s="896"/>
      <c r="J74" s="896"/>
      <c r="K74" s="896"/>
    </row>
    <row r="75" spans="1:11" s="404" customFormat="1" ht="52.5" customHeight="1" x14ac:dyDescent="0.25">
      <c r="A75" s="2359" t="s">
        <v>801</v>
      </c>
      <c r="B75" s="2360"/>
      <c r="C75" s="2360"/>
      <c r="D75" s="2360"/>
      <c r="E75" s="2360"/>
      <c r="F75" s="2360"/>
      <c r="G75" s="2361"/>
      <c r="H75" s="2335"/>
      <c r="I75" s="896"/>
      <c r="J75" s="896"/>
      <c r="K75" s="896"/>
    </row>
    <row r="76" spans="1:11" s="404" customFormat="1" ht="21" customHeight="1" x14ac:dyDescent="0.25">
      <c r="A76" s="2355" t="s">
        <v>802</v>
      </c>
      <c r="B76" s="2355"/>
      <c r="C76" s="2355"/>
      <c r="D76" s="2355"/>
      <c r="E76" s="2355"/>
      <c r="F76" s="2355"/>
      <c r="G76" s="2355"/>
      <c r="H76" s="2335"/>
      <c r="I76" s="896"/>
      <c r="J76" s="879" t="s">
        <v>1571</v>
      </c>
      <c r="K76" s="896"/>
    </row>
    <row r="77" spans="1:11" s="404" customFormat="1" ht="18.600000000000001" customHeight="1" x14ac:dyDescent="0.25">
      <c r="A77" s="2316" t="s">
        <v>794</v>
      </c>
      <c r="B77" s="2317"/>
      <c r="C77" s="2316" t="s">
        <v>1756</v>
      </c>
      <c r="D77" s="2317"/>
      <c r="E77" s="426" t="s">
        <v>1752</v>
      </c>
      <c r="F77" s="426" t="s">
        <v>1753</v>
      </c>
      <c r="G77" s="426" t="s">
        <v>1708</v>
      </c>
      <c r="H77" s="2335"/>
      <c r="I77" s="896"/>
      <c r="J77" s="879"/>
      <c r="K77" s="896"/>
    </row>
    <row r="78" spans="1:11" s="404" customFormat="1" x14ac:dyDescent="0.25">
      <c r="A78" s="2325"/>
      <c r="B78" s="2328"/>
      <c r="C78" s="2329" t="s">
        <v>1750</v>
      </c>
      <c r="D78" s="2330"/>
      <c r="E78" s="422" t="str">
        <f>IF(A78="","",+B36)</f>
        <v/>
      </c>
      <c r="F78" s="423" t="str">
        <f>IF(E78="","",E78*A78)</f>
        <v/>
      </c>
      <c r="G78" s="1412" t="str">
        <f>IF(A78="","",IF(B35="","",B35*A78))</f>
        <v/>
      </c>
      <c r="H78" s="2704"/>
      <c r="I78" s="896"/>
      <c r="J78" s="896"/>
      <c r="K78" s="896"/>
    </row>
    <row r="79" spans="1:11" s="404" customFormat="1" x14ac:dyDescent="0.25">
      <c r="A79" s="2325"/>
      <c r="B79" s="2328"/>
      <c r="C79" s="2329" t="s">
        <v>1751</v>
      </c>
      <c r="D79" s="2330"/>
      <c r="E79" s="422" t="str">
        <f>IF(A79="","",+B41)</f>
        <v/>
      </c>
      <c r="F79" s="423" t="str">
        <f>IF(E79="","",E79*A79)</f>
        <v/>
      </c>
      <c r="G79" s="1412" t="str">
        <f>IF(A79="","",IF(B40="","",B40*A79))</f>
        <v/>
      </c>
      <c r="H79" s="2704"/>
      <c r="I79" s="896"/>
      <c r="J79" s="896"/>
      <c r="K79" s="896"/>
    </row>
    <row r="80" spans="1:11" s="404" customFormat="1" ht="24.6" customHeight="1" x14ac:dyDescent="0.25">
      <c r="A80" s="2343" t="s">
        <v>803</v>
      </c>
      <c r="B80" s="2343"/>
      <c r="C80" s="2343"/>
      <c r="D80" s="2343"/>
      <c r="E80" s="2343"/>
      <c r="F80" s="2343"/>
      <c r="G80" s="2343"/>
      <c r="H80" s="2335" t="s">
        <v>1758</v>
      </c>
      <c r="I80" s="896"/>
      <c r="J80" s="896"/>
      <c r="K80" s="896"/>
    </row>
    <row r="81" spans="1:14" s="404" customFormat="1" ht="24.6" customHeight="1" x14ac:dyDescent="0.25">
      <c r="A81" s="2341" t="s">
        <v>794</v>
      </c>
      <c r="B81" s="2342"/>
      <c r="C81" s="2341" t="s">
        <v>1757</v>
      </c>
      <c r="D81" s="2342"/>
      <c r="E81" s="426" t="s">
        <v>1752</v>
      </c>
      <c r="F81" s="426" t="s">
        <v>1753</v>
      </c>
      <c r="G81" s="421" t="s">
        <v>1708</v>
      </c>
      <c r="H81" s="2335"/>
      <c r="I81" s="896"/>
      <c r="J81" s="896"/>
      <c r="K81" s="896"/>
    </row>
    <row r="82" spans="1:14" s="404" customFormat="1" x14ac:dyDescent="0.25">
      <c r="A82" s="2325"/>
      <c r="B82" s="2326"/>
      <c r="C82" s="2327" t="s">
        <v>1764</v>
      </c>
      <c r="D82" s="2327"/>
      <c r="E82" s="1679" t="str">
        <f>IF(A82="","",+B45)</f>
        <v/>
      </c>
      <c r="F82" s="1680" t="str">
        <f>IF(E82="","",A82*E82)</f>
        <v/>
      </c>
      <c r="G82" s="1681" t="str">
        <f>IF(A82="","",IF($B$40="","",$B$40*A82))</f>
        <v/>
      </c>
      <c r="H82" s="2705"/>
      <c r="I82" s="896"/>
      <c r="J82" s="896"/>
      <c r="K82" s="896"/>
    </row>
    <row r="83" spans="1:14" s="404" customFormat="1" x14ac:dyDescent="0.25">
      <c r="A83" s="2325"/>
      <c r="B83" s="2326"/>
      <c r="C83" s="2327" t="s">
        <v>1765</v>
      </c>
      <c r="D83" s="2327"/>
      <c r="E83" s="1679" t="str">
        <f t="shared" ref="E83:E87" si="1">IF(A83="","",+B46)</f>
        <v/>
      </c>
      <c r="F83" s="1680" t="str">
        <f t="shared" ref="F83:F88" si="2">IF(E83="","",A83*E83)</f>
        <v/>
      </c>
      <c r="G83" s="1681" t="str">
        <f>IF(A83="","",IF($B$40="","",$B$40*A83))</f>
        <v/>
      </c>
      <c r="H83" s="2705"/>
      <c r="I83" s="896"/>
      <c r="J83" s="896"/>
      <c r="K83" s="896"/>
    </row>
    <row r="84" spans="1:14" s="404" customFormat="1" x14ac:dyDescent="0.25">
      <c r="A84" s="2325"/>
      <c r="B84" s="2326"/>
      <c r="C84" s="2327" t="s">
        <v>1766</v>
      </c>
      <c r="D84" s="2327"/>
      <c r="E84" s="1679" t="str">
        <f t="shared" si="1"/>
        <v/>
      </c>
      <c r="F84" s="1680" t="str">
        <f t="shared" si="2"/>
        <v/>
      </c>
      <c r="G84" s="1681" t="str">
        <f t="shared" ref="G84:G88" si="3">IF(A84="","",IF($B$40="","",$B$40*A84))</f>
        <v/>
      </c>
      <c r="H84" s="2705"/>
      <c r="I84" s="896"/>
      <c r="J84" s="896"/>
      <c r="K84" s="896"/>
    </row>
    <row r="85" spans="1:14" s="404" customFormat="1" x14ac:dyDescent="0.25">
      <c r="A85" s="2325"/>
      <c r="B85" s="2326"/>
      <c r="C85" s="2327" t="s">
        <v>1767</v>
      </c>
      <c r="D85" s="2327"/>
      <c r="E85" s="1679" t="str">
        <f>IF(A85="","",+B48)</f>
        <v/>
      </c>
      <c r="F85" s="1680" t="str">
        <f t="shared" si="2"/>
        <v/>
      </c>
      <c r="G85" s="1681" t="str">
        <f t="shared" si="3"/>
        <v/>
      </c>
      <c r="H85" s="2705"/>
      <c r="I85" s="896"/>
      <c r="J85" s="896"/>
      <c r="K85" s="896"/>
    </row>
    <row r="86" spans="1:14" s="404" customFormat="1" x14ac:dyDescent="0.25">
      <c r="A86" s="2325"/>
      <c r="B86" s="2326"/>
      <c r="C86" s="2327" t="s">
        <v>1768</v>
      </c>
      <c r="D86" s="2327"/>
      <c r="E86" s="1679" t="str">
        <f t="shared" si="1"/>
        <v/>
      </c>
      <c r="F86" s="1680" t="str">
        <f t="shared" si="2"/>
        <v/>
      </c>
      <c r="G86" s="1681" t="str">
        <f t="shared" si="3"/>
        <v/>
      </c>
      <c r="H86" s="2705"/>
      <c r="I86" s="896"/>
      <c r="J86" s="896"/>
      <c r="K86" s="896"/>
    </row>
    <row r="87" spans="1:14" s="404" customFormat="1" x14ac:dyDescent="0.25">
      <c r="A87" s="2325"/>
      <c r="B87" s="2326"/>
      <c r="C87" s="2327" t="s">
        <v>1769</v>
      </c>
      <c r="D87" s="2327"/>
      <c r="E87" s="1679" t="str">
        <f t="shared" si="1"/>
        <v/>
      </c>
      <c r="F87" s="1680" t="str">
        <f t="shared" si="2"/>
        <v/>
      </c>
      <c r="G87" s="1681" t="str">
        <f t="shared" si="3"/>
        <v/>
      </c>
      <c r="H87" s="2705"/>
      <c r="I87" s="896"/>
      <c r="J87" s="896"/>
      <c r="K87" s="896"/>
    </row>
    <row r="88" spans="1:14" s="404" customFormat="1" x14ac:dyDescent="0.25">
      <c r="A88" s="2312"/>
      <c r="B88" s="2312"/>
      <c r="C88" s="2313"/>
      <c r="D88" s="2313"/>
      <c r="E88" s="919"/>
      <c r="F88" s="423" t="str">
        <f t="shared" si="2"/>
        <v/>
      </c>
      <c r="G88" s="1412" t="str">
        <f t="shared" si="3"/>
        <v/>
      </c>
      <c r="H88" s="2705"/>
      <c r="I88" s="896"/>
      <c r="J88" s="896"/>
      <c r="K88" s="896"/>
    </row>
    <row r="89" spans="1:14" s="404" customFormat="1" x14ac:dyDescent="0.25">
      <c r="A89" s="424"/>
      <c r="B89" s="424"/>
      <c r="C89" s="376"/>
      <c r="D89" s="376"/>
      <c r="E89" s="920"/>
      <c r="F89" s="921"/>
      <c r="G89" s="896"/>
      <c r="H89" s="896"/>
      <c r="I89" s="896"/>
      <c r="J89" s="896"/>
      <c r="K89" s="896"/>
    </row>
    <row r="90" spans="1:14" s="404" customFormat="1" hidden="1" x14ac:dyDescent="0.25">
      <c r="A90" s="2314" t="s">
        <v>804</v>
      </c>
      <c r="B90" s="2314"/>
      <c r="C90" s="2314"/>
      <c r="D90" s="2314"/>
      <c r="E90" s="2314"/>
      <c r="F90" s="2314"/>
      <c r="G90" s="425"/>
      <c r="H90" s="896"/>
      <c r="I90" s="896"/>
      <c r="J90" s="896"/>
      <c r="K90" s="425"/>
      <c r="L90" s="425"/>
    </row>
    <row r="91" spans="1:14" s="404" customFormat="1" ht="60" hidden="1" customHeight="1" x14ac:dyDescent="0.25">
      <c r="A91" s="2315" t="s">
        <v>805</v>
      </c>
      <c r="B91" s="2315"/>
      <c r="C91" s="2315"/>
      <c r="D91" s="2315"/>
      <c r="E91" s="2315"/>
      <c r="F91" s="2315"/>
      <c r="G91" s="425"/>
      <c r="H91" s="896"/>
      <c r="I91" s="896"/>
      <c r="J91" s="896"/>
      <c r="K91" s="425"/>
      <c r="L91" s="425"/>
    </row>
    <row r="92" spans="1:14" s="404" customFormat="1" ht="30" hidden="1" x14ac:dyDescent="0.25">
      <c r="A92" s="426" t="s">
        <v>794</v>
      </c>
      <c r="B92" s="2316" t="s">
        <v>806</v>
      </c>
      <c r="C92" s="2317"/>
      <c r="D92" s="427" t="s">
        <v>807</v>
      </c>
      <c r="E92" s="2318" t="s">
        <v>808</v>
      </c>
      <c r="F92" s="2319"/>
      <c r="G92" s="425"/>
      <c r="H92" s="896"/>
      <c r="I92" s="896"/>
      <c r="J92" s="896"/>
      <c r="K92" s="425"/>
      <c r="L92" s="425"/>
    </row>
    <row r="93" spans="1:14" s="404" customFormat="1" hidden="1" x14ac:dyDescent="0.25">
      <c r="A93" s="420">
        <v>0.04</v>
      </c>
      <c r="B93" s="2333"/>
      <c r="C93" s="2334"/>
      <c r="D93" s="428">
        <f>+B93*A93</f>
        <v>0</v>
      </c>
      <c r="E93" s="2331" t="s">
        <v>809</v>
      </c>
      <c r="F93" s="2332"/>
      <c r="G93" s="425"/>
      <c r="H93" s="896"/>
      <c r="I93" s="896"/>
      <c r="J93" s="896"/>
      <c r="K93" s="425"/>
      <c r="L93" s="425"/>
    </row>
    <row r="94" spans="1:14" s="404" customFormat="1" ht="15" hidden="1" customHeight="1" x14ac:dyDescent="0.25">
      <c r="A94" s="429"/>
      <c r="B94" s="2333"/>
      <c r="C94" s="2334"/>
      <c r="D94" s="428">
        <f>+B94*A94</f>
        <v>0</v>
      </c>
      <c r="E94" s="2331"/>
      <c r="F94" s="2332"/>
      <c r="G94" s="896"/>
      <c r="H94" s="896"/>
      <c r="I94" s="896"/>
      <c r="J94" s="896"/>
      <c r="K94" s="896"/>
    </row>
    <row r="95" spans="1:14" s="404" customFormat="1" hidden="1" x14ac:dyDescent="0.25">
      <c r="A95" s="429"/>
      <c r="B95" s="2333"/>
      <c r="C95" s="2334"/>
      <c r="D95" s="428">
        <f t="shared" ref="D95:D100" si="4">+B95*A95</f>
        <v>0</v>
      </c>
      <c r="E95" s="2331"/>
      <c r="F95" s="2332"/>
      <c r="G95" s="896"/>
      <c r="H95" s="896"/>
      <c r="I95" s="896"/>
      <c r="J95" s="896"/>
      <c r="K95" s="896"/>
    </row>
    <row r="96" spans="1:14" s="404" customFormat="1" hidden="1" x14ac:dyDescent="0.25">
      <c r="A96" s="429"/>
      <c r="B96" s="2333"/>
      <c r="C96" s="2334"/>
      <c r="D96" s="428">
        <f t="shared" si="4"/>
        <v>0</v>
      </c>
      <c r="E96" s="2331"/>
      <c r="F96" s="2332"/>
      <c r="G96" s="896"/>
      <c r="H96" s="896"/>
      <c r="I96" s="896"/>
      <c r="J96" s="896"/>
      <c r="K96" s="896"/>
      <c r="N96" s="430"/>
    </row>
    <row r="97" spans="1:11" s="404" customFormat="1" hidden="1" x14ac:dyDescent="0.25">
      <c r="A97" s="429"/>
      <c r="B97" s="2333"/>
      <c r="C97" s="2334"/>
      <c r="D97" s="428">
        <f t="shared" si="4"/>
        <v>0</v>
      </c>
      <c r="E97" s="2331"/>
      <c r="F97" s="2332"/>
      <c r="G97" s="896"/>
      <c r="H97" s="896"/>
      <c r="I97" s="896"/>
      <c r="J97" s="896"/>
      <c r="K97" s="896"/>
    </row>
    <row r="98" spans="1:11" s="404" customFormat="1" hidden="1" x14ac:dyDescent="0.25">
      <c r="A98" s="429"/>
      <c r="B98" s="2333"/>
      <c r="C98" s="2334"/>
      <c r="D98" s="428">
        <f t="shared" si="4"/>
        <v>0</v>
      </c>
      <c r="E98" s="2331"/>
      <c r="F98" s="2332"/>
      <c r="G98" s="896"/>
      <c r="H98" s="896"/>
      <c r="I98" s="896"/>
      <c r="J98" s="896"/>
      <c r="K98" s="896"/>
    </row>
    <row r="99" spans="1:11" s="404" customFormat="1" hidden="1" x14ac:dyDescent="0.25">
      <c r="A99" s="429"/>
      <c r="B99" s="2333"/>
      <c r="C99" s="2334"/>
      <c r="D99" s="428">
        <f t="shared" si="4"/>
        <v>0</v>
      </c>
      <c r="E99" s="2331"/>
      <c r="F99" s="2332"/>
      <c r="G99" s="896"/>
      <c r="H99" s="896"/>
      <c r="I99" s="896"/>
      <c r="J99" s="896"/>
      <c r="K99" s="896"/>
    </row>
    <row r="100" spans="1:11" s="404" customFormat="1" hidden="1" x14ac:dyDescent="0.25">
      <c r="A100" s="429"/>
      <c r="B100" s="2333"/>
      <c r="C100" s="2334"/>
      <c r="D100" s="428">
        <f t="shared" si="4"/>
        <v>0</v>
      </c>
      <c r="E100" s="2331"/>
      <c r="F100" s="2332"/>
      <c r="G100" s="896"/>
      <c r="H100" s="896"/>
      <c r="I100" s="896"/>
      <c r="J100" s="896"/>
      <c r="K100" s="896"/>
    </row>
    <row r="101" spans="1:11" s="404" customFormat="1" ht="21.75" hidden="1" customHeight="1" x14ac:dyDescent="0.25">
      <c r="A101" s="431" t="s">
        <v>810</v>
      </c>
      <c r="B101" s="431"/>
      <c r="E101" s="896"/>
      <c r="F101" s="896"/>
      <c r="G101" s="896"/>
      <c r="H101" s="896"/>
      <c r="I101" s="896"/>
      <c r="J101" s="896"/>
      <c r="K101" s="896"/>
    </row>
    <row r="102" spans="1:11" s="371" customFormat="1" ht="21" customHeight="1" x14ac:dyDescent="0.25">
      <c r="A102" s="2320" t="s">
        <v>463</v>
      </c>
      <c r="B102" s="2321"/>
      <c r="C102" s="1224" t="s">
        <v>811</v>
      </c>
      <c r="D102" s="1225" t="s">
        <v>1744</v>
      </c>
      <c r="E102" s="683"/>
      <c r="F102" s="683"/>
      <c r="G102" s="922"/>
      <c r="H102" s="923"/>
      <c r="I102" s="923"/>
      <c r="J102" s="923"/>
      <c r="K102" s="923"/>
    </row>
    <row r="103" spans="1:11" s="371" customFormat="1" ht="29.45" customHeight="1" x14ac:dyDescent="0.25">
      <c r="A103" s="2310"/>
      <c r="B103" s="2311"/>
      <c r="C103" s="1598"/>
      <c r="D103" s="419"/>
      <c r="E103" s="924"/>
      <c r="F103" s="924"/>
      <c r="G103" s="925"/>
      <c r="H103" s="923"/>
      <c r="I103" s="923"/>
      <c r="J103" s="923"/>
      <c r="K103" s="923"/>
    </row>
    <row r="104" spans="1:11" s="371" customFormat="1" ht="29.45" customHeight="1" x14ac:dyDescent="0.25">
      <c r="A104" s="2310"/>
      <c r="B104" s="2311"/>
      <c r="C104" s="1598"/>
      <c r="D104" s="419"/>
      <c r="E104" s="924"/>
      <c r="F104" s="924"/>
      <c r="G104" s="925"/>
      <c r="H104" s="926"/>
      <c r="I104" s="923"/>
      <c r="J104" s="923"/>
      <c r="K104" s="923"/>
    </row>
    <row r="105" spans="1:11" s="371" customFormat="1" ht="29.45" customHeight="1" x14ac:dyDescent="0.25">
      <c r="A105" s="2310"/>
      <c r="B105" s="2311"/>
      <c r="C105" s="1598"/>
      <c r="D105" s="419"/>
      <c r="E105" s="924"/>
      <c r="F105" s="924"/>
      <c r="G105" s="925"/>
      <c r="H105" s="926"/>
      <c r="I105" s="923"/>
      <c r="J105" s="923"/>
      <c r="K105" s="923"/>
    </row>
    <row r="106" spans="1:11" s="371" customFormat="1" ht="29.45" customHeight="1" x14ac:dyDescent="0.25">
      <c r="A106" s="2310"/>
      <c r="B106" s="2311"/>
      <c r="C106" s="1598"/>
      <c r="D106" s="419" t="s">
        <v>143</v>
      </c>
      <c r="E106" s="924"/>
      <c r="F106" s="924"/>
      <c r="G106" s="925"/>
      <c r="H106" s="923"/>
      <c r="I106" s="923"/>
      <c r="J106" s="923"/>
      <c r="K106" s="923"/>
    </row>
    <row r="107" spans="1:11" s="371" customFormat="1" ht="29.45" customHeight="1" x14ac:dyDescent="0.25">
      <c r="A107" s="2310"/>
      <c r="B107" s="2311"/>
      <c r="C107" s="1598"/>
      <c r="D107" s="419"/>
      <c r="E107" s="924"/>
      <c r="F107" s="924"/>
      <c r="G107" s="925"/>
      <c r="H107" s="923"/>
      <c r="I107" s="923"/>
      <c r="J107" s="923"/>
      <c r="K107" s="923"/>
    </row>
    <row r="108" spans="1:11" s="371" customFormat="1" ht="29.45" customHeight="1" x14ac:dyDescent="0.25">
      <c r="A108" s="2310"/>
      <c r="B108" s="2311"/>
      <c r="C108" s="1598"/>
      <c r="D108" s="419"/>
      <c r="E108" s="924"/>
      <c r="F108" s="924"/>
      <c r="G108" s="925"/>
      <c r="H108" s="923"/>
      <c r="I108" s="923"/>
      <c r="J108" s="923"/>
      <c r="K108" s="923"/>
    </row>
    <row r="109" spans="1:11" s="371" customFormat="1" ht="29.45" customHeight="1" x14ac:dyDescent="0.25">
      <c r="A109" s="2310"/>
      <c r="B109" s="2311"/>
      <c r="C109" s="1598"/>
      <c r="D109" s="419"/>
      <c r="E109" s="924"/>
      <c r="F109" s="924"/>
      <c r="G109" s="925"/>
      <c r="H109" s="923"/>
      <c r="I109" s="923"/>
      <c r="J109" s="923"/>
      <c r="K109" s="923"/>
    </row>
    <row r="110" spans="1:11" s="371" customFormat="1" ht="29.45" customHeight="1" x14ac:dyDescent="0.25">
      <c r="A110" s="2310"/>
      <c r="B110" s="2311"/>
      <c r="C110" s="1598"/>
      <c r="D110" s="419"/>
      <c r="E110" s="924"/>
      <c r="F110" s="924"/>
      <c r="G110" s="925"/>
      <c r="H110" s="923"/>
      <c r="I110" s="923"/>
      <c r="J110" s="923"/>
      <c r="K110" s="923"/>
    </row>
    <row r="163" spans="1:14" hidden="1" x14ac:dyDescent="0.25"/>
    <row r="164" spans="1:14" hidden="1" x14ac:dyDescent="0.25"/>
    <row r="165" spans="1:14" hidden="1" x14ac:dyDescent="0.25"/>
    <row r="166" spans="1:14" hidden="1" x14ac:dyDescent="0.25"/>
    <row r="167" spans="1:14" hidden="1" x14ac:dyDescent="0.25"/>
    <row r="168" spans="1:14" hidden="1" x14ac:dyDescent="0.25"/>
    <row r="169" spans="1:14" hidden="1" x14ac:dyDescent="0.25"/>
    <row r="170" spans="1:14" hidden="1" x14ac:dyDescent="0.25"/>
    <row r="171" spans="1:14" hidden="1" x14ac:dyDescent="0.25"/>
    <row r="172" spans="1:14" hidden="1" x14ac:dyDescent="0.25"/>
    <row r="173" spans="1:14" hidden="1" x14ac:dyDescent="0.25"/>
    <row r="174" spans="1:14" hidden="1" x14ac:dyDescent="0.25">
      <c r="A174" s="432" t="s">
        <v>692</v>
      </c>
      <c r="B174" s="432" t="s">
        <v>813</v>
      </c>
      <c r="C174" s="432" t="s">
        <v>683</v>
      </c>
      <c r="D174" s="432" t="s">
        <v>814</v>
      </c>
      <c r="E174" s="927" t="s">
        <v>815</v>
      </c>
      <c r="F174" s="928" t="s">
        <v>816</v>
      </c>
      <c r="G174" s="917"/>
      <c r="H174" s="927" t="s">
        <v>817</v>
      </c>
      <c r="I174" s="927" t="s">
        <v>818</v>
      </c>
      <c r="J174" s="927" t="s">
        <v>819</v>
      </c>
      <c r="K174" s="927" t="s">
        <v>820</v>
      </c>
      <c r="L174" s="432" t="s">
        <v>821</v>
      </c>
      <c r="M174" s="432" t="s">
        <v>822</v>
      </c>
      <c r="N174"/>
    </row>
    <row r="175" spans="1:14" hidden="1" x14ac:dyDescent="0.25">
      <c r="A175" t="s">
        <v>823</v>
      </c>
      <c r="B175" t="s">
        <v>156</v>
      </c>
      <c r="C175" t="s">
        <v>688</v>
      </c>
      <c r="D175" t="s">
        <v>824</v>
      </c>
      <c r="E175" s="917" t="s">
        <v>1679</v>
      </c>
      <c r="F175" s="929" t="s">
        <v>825</v>
      </c>
      <c r="G175" s="917"/>
      <c r="H175" s="917" t="s">
        <v>826</v>
      </c>
      <c r="I175" s="917" t="s">
        <v>827</v>
      </c>
      <c r="J175" s="917" t="s">
        <v>153</v>
      </c>
      <c r="K175" s="917" t="s">
        <v>828</v>
      </c>
      <c r="L175" s="433" t="s">
        <v>829</v>
      </c>
      <c r="M175" t="s">
        <v>830</v>
      </c>
      <c r="N175"/>
    </row>
    <row r="176" spans="1:14" hidden="1" x14ac:dyDescent="0.25">
      <c r="A176" t="s">
        <v>687</v>
      </c>
      <c r="B176" t="s">
        <v>131</v>
      </c>
      <c r="C176" t="s">
        <v>686</v>
      </c>
      <c r="D176" t="s">
        <v>132</v>
      </c>
      <c r="E176" s="917" t="s">
        <v>831</v>
      </c>
      <c r="F176" s="929" t="s">
        <v>832</v>
      </c>
      <c r="G176" s="917"/>
      <c r="H176" s="917" t="s">
        <v>833</v>
      </c>
      <c r="I176" s="917" t="s">
        <v>687</v>
      </c>
      <c r="J176" s="917" t="s">
        <v>132</v>
      </c>
      <c r="K176" s="917" t="s">
        <v>831</v>
      </c>
      <c r="L176" s="433" t="s">
        <v>834</v>
      </c>
      <c r="M176" t="s">
        <v>835</v>
      </c>
      <c r="N176"/>
    </row>
    <row r="177" spans="1:14" hidden="1" x14ac:dyDescent="0.25">
      <c r="A177" t="s">
        <v>685</v>
      </c>
      <c r="B177" t="s">
        <v>154</v>
      </c>
      <c r="C177" t="s">
        <v>1604</v>
      </c>
      <c r="D177" t="s">
        <v>155</v>
      </c>
      <c r="E177" s="917" t="s">
        <v>1678</v>
      </c>
      <c r="F177" s="930" t="s">
        <v>836</v>
      </c>
      <c r="G177" s="917"/>
      <c r="H177" s="917" t="s">
        <v>837</v>
      </c>
      <c r="I177" s="917" t="s">
        <v>838</v>
      </c>
      <c r="J177" s="917" t="s">
        <v>155</v>
      </c>
      <c r="K177" s="917" t="s">
        <v>839</v>
      </c>
      <c r="L177" s="433" t="s">
        <v>840</v>
      </c>
      <c r="M177" t="s">
        <v>841</v>
      </c>
      <c r="N177"/>
    </row>
    <row r="178" spans="1:14" hidden="1" x14ac:dyDescent="0.25">
      <c r="A178" t="s">
        <v>1604</v>
      </c>
      <c r="B178" t="s">
        <v>1604</v>
      </c>
      <c r="C178"/>
      <c r="D178"/>
      <c r="E178" s="917"/>
      <c r="F178" s="930" t="s">
        <v>842</v>
      </c>
      <c r="G178" s="917"/>
      <c r="H178" s="917"/>
      <c r="I178" s="917"/>
      <c r="J178" s="917"/>
      <c r="K178" s="917"/>
      <c r="L178" s="433" t="s">
        <v>843</v>
      </c>
      <c r="M178" t="s">
        <v>844</v>
      </c>
      <c r="N178"/>
    </row>
    <row r="179" spans="1:14" hidden="1" x14ac:dyDescent="0.25">
      <c r="A179"/>
      <c r="B179"/>
      <c r="C179"/>
      <c r="D179"/>
      <c r="E179" s="917"/>
      <c r="F179" s="930" t="s">
        <v>671</v>
      </c>
      <c r="G179" s="917"/>
      <c r="H179" s="917"/>
      <c r="I179" s="917"/>
      <c r="J179" s="917"/>
      <c r="K179" s="917"/>
      <c r="L179"/>
      <c r="M179" t="s">
        <v>498</v>
      </c>
      <c r="N179"/>
    </row>
    <row r="180" spans="1:14" hidden="1" x14ac:dyDescent="0.25">
      <c r="A180"/>
      <c r="B180"/>
      <c r="C180"/>
      <c r="D180"/>
      <c r="E180" s="917"/>
      <c r="F180" s="917"/>
      <c r="G180" s="917"/>
      <c r="H180" s="917"/>
      <c r="I180" s="917"/>
      <c r="J180" s="917"/>
      <c r="K180" s="917"/>
      <c r="L180"/>
      <c r="M180" t="s">
        <v>845</v>
      </c>
      <c r="N180"/>
    </row>
    <row r="181" spans="1:14" hidden="1" x14ac:dyDescent="0.25">
      <c r="A181"/>
      <c r="B181"/>
      <c r="C181"/>
      <c r="D181"/>
      <c r="E181" s="917"/>
      <c r="F181" s="929" t="s">
        <v>846</v>
      </c>
      <c r="G181" s="917"/>
      <c r="H181" s="917"/>
      <c r="I181" s="917"/>
      <c r="J181" s="917"/>
      <c r="K181" s="917"/>
      <c r="L181"/>
      <c r="M181" t="s">
        <v>847</v>
      </c>
      <c r="N181"/>
    </row>
    <row r="182" spans="1:14" hidden="1" x14ac:dyDescent="0.25">
      <c r="A182"/>
      <c r="B182"/>
      <c r="C182"/>
      <c r="D182"/>
      <c r="E182" s="917"/>
      <c r="F182" s="917"/>
      <c r="G182" s="917"/>
      <c r="H182" s="917"/>
      <c r="I182" s="917"/>
      <c r="J182" s="917"/>
      <c r="K182" s="917"/>
      <c r="L182"/>
      <c r="M182"/>
      <c r="N182"/>
    </row>
    <row r="183" spans="1:14" hidden="1" x14ac:dyDescent="0.25"/>
    <row r="184" spans="1:14" hidden="1" x14ac:dyDescent="0.25"/>
    <row r="185" spans="1:14" hidden="1" x14ac:dyDescent="0.25"/>
    <row r="186" spans="1:14" hidden="1" x14ac:dyDescent="0.25"/>
    <row r="187" spans="1:14" hidden="1" x14ac:dyDescent="0.25"/>
    <row r="188" spans="1:14" hidden="1" x14ac:dyDescent="0.25"/>
    <row r="189" spans="1:14" hidden="1" x14ac:dyDescent="0.25"/>
    <row r="190" spans="1:14" hidden="1" x14ac:dyDescent="0.25"/>
    <row r="191" spans="1:14" hidden="1" x14ac:dyDescent="0.25"/>
    <row r="192" spans="1:14" hidden="1" x14ac:dyDescent="0.25"/>
    <row r="193" hidden="1" x14ac:dyDescent="0.25"/>
  </sheetData>
  <sheetProtection algorithmName="SHA-512" hashValue="CeIzTZsnuX8tTCtETE7rEmeye0WPdL2BVI6njizJ/U5hMGJUlZDuyxEiI+G01vDuMFPhI6L+jtGJbsAOZuQLqg==" saltValue="E1gn5oZO2auYQ0bMC0l4qg==" spinCount="100000" sheet="1" pivotTables="0"/>
  <mergeCells count="99">
    <mergeCell ref="A66:F66"/>
    <mergeCell ref="A77:B77"/>
    <mergeCell ref="C77:D77"/>
    <mergeCell ref="A61:F61"/>
    <mergeCell ref="A62:F62"/>
    <mergeCell ref="A63:F63"/>
    <mergeCell ref="A65:F65"/>
    <mergeCell ref="A76:G76"/>
    <mergeCell ref="A74:G74"/>
    <mergeCell ref="A75:G75"/>
    <mergeCell ref="A64:F64"/>
    <mergeCell ref="A60:F60"/>
    <mergeCell ref="A27:B27"/>
    <mergeCell ref="A28:B28"/>
    <mergeCell ref="A29:B29"/>
    <mergeCell ref="A31:B31"/>
    <mergeCell ref="A33:B33"/>
    <mergeCell ref="A38:B38"/>
    <mergeCell ref="A43:C43"/>
    <mergeCell ref="A59:F59"/>
    <mergeCell ref="C84:D84"/>
    <mergeCell ref="C79:D79"/>
    <mergeCell ref="A81:B81"/>
    <mergeCell ref="C81:D81"/>
    <mergeCell ref="A80:G80"/>
    <mergeCell ref="H80:H81"/>
    <mergeCell ref="K33:L33"/>
    <mergeCell ref="G34:J34"/>
    <mergeCell ref="K34:L34"/>
    <mergeCell ref="K39:L39"/>
    <mergeCell ref="K40:L40"/>
    <mergeCell ref="G39:J39"/>
    <mergeCell ref="H74:H77"/>
    <mergeCell ref="G40:J40"/>
    <mergeCell ref="A110:B110"/>
    <mergeCell ref="B93:C93"/>
    <mergeCell ref="E93:F93"/>
    <mergeCell ref="B94:C94"/>
    <mergeCell ref="E94:F94"/>
    <mergeCell ref="B95:C95"/>
    <mergeCell ref="E95:F95"/>
    <mergeCell ref="A108:B108"/>
    <mergeCell ref="A109:B109"/>
    <mergeCell ref="B96:C96"/>
    <mergeCell ref="E96:F96"/>
    <mergeCell ref="B97:C97"/>
    <mergeCell ref="E97:F97"/>
    <mergeCell ref="B98:C98"/>
    <mergeCell ref="E98:F98"/>
    <mergeCell ref="B99:C99"/>
    <mergeCell ref="A87:B87"/>
    <mergeCell ref="C87:D87"/>
    <mergeCell ref="E99:F99"/>
    <mergeCell ref="B100:C100"/>
    <mergeCell ref="E100:F100"/>
    <mergeCell ref="B11:C11"/>
    <mergeCell ref="B6:F6"/>
    <mergeCell ref="B7:F7"/>
    <mergeCell ref="B8:F8"/>
    <mergeCell ref="A86:B86"/>
    <mergeCell ref="C86:D86"/>
    <mergeCell ref="A85:B85"/>
    <mergeCell ref="C85:D85"/>
    <mergeCell ref="A78:B78"/>
    <mergeCell ref="C78:D78"/>
    <mergeCell ref="A79:B79"/>
    <mergeCell ref="A82:B82"/>
    <mergeCell ref="C82:D82"/>
    <mergeCell ref="A83:B83"/>
    <mergeCell ref="C83:D83"/>
    <mergeCell ref="A84:B84"/>
    <mergeCell ref="A107:B107"/>
    <mergeCell ref="A106:B106"/>
    <mergeCell ref="A88:B88"/>
    <mergeCell ref="C88:D88"/>
    <mergeCell ref="A90:F90"/>
    <mergeCell ref="A91:F91"/>
    <mergeCell ref="B92:C92"/>
    <mergeCell ref="E92:F92"/>
    <mergeCell ref="A104:B104"/>
    <mergeCell ref="A105:B105"/>
    <mergeCell ref="A102:B102"/>
    <mergeCell ref="A103:B103"/>
    <mergeCell ref="H2:H3"/>
    <mergeCell ref="A2:A3"/>
    <mergeCell ref="B2:G3"/>
    <mergeCell ref="G33:J33"/>
    <mergeCell ref="A18:F18"/>
    <mergeCell ref="A20:B20"/>
    <mergeCell ref="A21:B21"/>
    <mergeCell ref="A22:B22"/>
    <mergeCell ref="A24:B24"/>
    <mergeCell ref="A25:B25"/>
    <mergeCell ref="A19:F19"/>
    <mergeCell ref="A14:F14"/>
    <mergeCell ref="A15:F15"/>
    <mergeCell ref="A6:A7"/>
    <mergeCell ref="B9:C9"/>
    <mergeCell ref="B10:C10"/>
  </mergeCells>
  <conditionalFormatting sqref="A21">
    <cfRule type="containsText" dxfId="134" priority="51" operator="containsText" text="Sin salvedades">
      <formula>NOT(ISERROR(SEARCH("Sin salvedades",A21)))</formula>
    </cfRule>
    <cfRule type="containsText" dxfId="133" priority="50" operator="containsText" text="Sin salvedades">
      <formula>NOT(ISERROR(SEARCH("Sin salvedades",A21)))</formula>
    </cfRule>
    <cfRule type="containsText" dxfId="132" priority="49" operator="containsText" text="Negativa o abstención">
      <formula>NOT(ISERROR(SEARCH("Negativa o abstención",A21)))</formula>
    </cfRule>
    <cfRule type="containsText" dxfId="131" priority="48" operator="containsText" text="Negativa o abstención">
      <formula>NOT(ISERROR(SEARCH("Negativa o abstención",A21)))</formula>
    </cfRule>
    <cfRule type="containsText" dxfId="130" priority="57" operator="containsText" text="Sin salvedades">
      <formula>NOT(ISERROR(SEARCH("Sin salvedades",A21)))</formula>
    </cfRule>
    <cfRule type="containsText" dxfId="129" priority="56" operator="containsText" text="Con salvedades">
      <formula>NOT(ISERROR(SEARCH("Con salvedades",A21)))</formula>
    </cfRule>
    <cfRule type="containsText" dxfId="128" priority="55" operator="containsText" text="Con salvedades">
      <formula>NOT(ISERROR(SEARCH("Con salvedades",A21)))</formula>
    </cfRule>
    <cfRule type="containsText" dxfId="127" priority="54" operator="containsText" text="Negativa o abstención">
      <formula>NOT(ISERROR(SEARCH("Negativa o abstención",A21)))</formula>
    </cfRule>
    <cfRule type="containsText" dxfId="126" priority="53" operator="containsText" text="Con salvedades">
      <formula>NOT(ISERROR(SEARCH("Con salvedades",A21)))</formula>
    </cfRule>
    <cfRule type="containsText" dxfId="125" priority="52" operator="containsText" text="Con salvedades">
      <formula>NOT(ISERROR(SEARCH("Con salvedades",A21)))</formula>
    </cfRule>
  </conditionalFormatting>
  <conditionalFormatting sqref="A22">
    <cfRule type="containsText" dxfId="124" priority="59" operator="containsText" text="1">
      <formula>NOT(ISERROR(SEARCH("1",A22)))</formula>
    </cfRule>
    <cfRule type="containsText" dxfId="123" priority="62" operator="containsText" text="3">
      <formula>NOT(ISERROR(SEARCH("3",A22)))</formula>
    </cfRule>
    <cfRule type="containsText" dxfId="122" priority="61" operator="containsText" text="0">
      <formula>NOT(ISERROR(SEARCH("0",A22)))</formula>
    </cfRule>
    <cfRule type="containsText" dxfId="121" priority="60" operator="containsText" text="1">
      <formula>NOT(ISERROR(SEARCH("1",A22)))</formula>
    </cfRule>
    <cfRule type="containsText" dxfId="120" priority="58" operator="containsText" text="2">
      <formula>NOT(ISERROR(SEARCH("2",A22)))</formula>
    </cfRule>
    <cfRule type="containsText" dxfId="119" priority="63" operator="containsText" text="3">
      <formula>NOT(ISERROR(SEARCH("3",A22)))</formula>
    </cfRule>
    <cfRule type="containsText" dxfId="118" priority="64" operator="containsText" text="1">
      <formula>NOT(ISERROR(SEARCH("1",A22)))</formula>
    </cfRule>
    <cfRule type="containsText" dxfId="117" priority="65" operator="containsText" text="0">
      <formula>NOT(ISERROR(SEARCH("0",A22)))</formula>
    </cfRule>
    <cfRule type="containsText" dxfId="116" priority="66" operator="containsText" text="Eficiente">
      <formula>NOT(ISERROR(SEARCH("Eficiente",A22)))</formula>
    </cfRule>
  </conditionalFormatting>
  <conditionalFormatting sqref="A2:B2">
    <cfRule type="cellIs" dxfId="115" priority="1" operator="equal">
      <formula>"ERROR"</formula>
    </cfRule>
  </conditionalFormatting>
  <conditionalFormatting sqref="C21">
    <cfRule type="containsText" dxfId="114" priority="46" operator="containsText" text="Con deficiencias">
      <formula>NOT(ISERROR(SEARCH("Con deficiencias",C21)))</formula>
    </cfRule>
    <cfRule type="containsText" dxfId="113" priority="47" operator="containsText" text="Eficiente">
      <formula>NOT(ISERROR(SEARCH("Eficiente",C21)))</formula>
    </cfRule>
    <cfRule type="containsText" dxfId="112" priority="45" operator="containsText" text="Ineficiente">
      <formula>NOT(ISERROR(SEARCH("Ineficiente",C21)))</formula>
    </cfRule>
    <cfRule type="containsText" dxfId="111" priority="44" operator="containsText" text="Ineficiente">
      <formula>NOT(ISERROR(SEARCH("Ineficiente",C21)))</formula>
    </cfRule>
  </conditionalFormatting>
  <conditionalFormatting sqref="C22:F22">
    <cfRule type="containsText" dxfId="110" priority="7" operator="containsText" text="3">
      <formula>NOT(ISERROR(SEARCH("3",C22)))</formula>
    </cfRule>
    <cfRule type="containsText" dxfId="109" priority="8" operator="containsText" text="3">
      <formula>NOT(ISERROR(SEARCH("3",C22)))</formula>
    </cfRule>
    <cfRule type="containsText" dxfId="108" priority="10" operator="containsText" text="0">
      <formula>NOT(ISERROR(SEARCH("0",C22)))</formula>
    </cfRule>
    <cfRule type="containsText" dxfId="107" priority="11" operator="containsText" text="Eficiente">
      <formula>NOT(ISERROR(SEARCH("Eficiente",C22)))</formula>
    </cfRule>
    <cfRule type="containsText" dxfId="106" priority="9" operator="containsText" text="1">
      <formula>NOT(ISERROR(SEARCH("1",C22)))</formula>
    </cfRule>
    <cfRule type="containsText" dxfId="105" priority="3" operator="containsText" text="2">
      <formula>NOT(ISERROR(SEARCH("2",C22)))</formula>
    </cfRule>
    <cfRule type="containsText" dxfId="104" priority="4" operator="containsText" text="1">
      <formula>NOT(ISERROR(SEARCH("1",C22)))</formula>
    </cfRule>
    <cfRule type="containsText" dxfId="103" priority="5" operator="containsText" text="1">
      <formula>NOT(ISERROR(SEARCH("1",C22)))</formula>
    </cfRule>
    <cfRule type="containsText" dxfId="102" priority="6" operator="containsText" text="0">
      <formula>NOT(ISERROR(SEARCH("0",C22)))</formula>
    </cfRule>
  </conditionalFormatting>
  <conditionalFormatting sqref="D21">
    <cfRule type="containsText" dxfId="101" priority="38" operator="containsText" text="Con salvedades">
      <formula>NOT(ISERROR(SEARCH("Con salvedades",D21)))</formula>
    </cfRule>
    <cfRule type="containsText" dxfId="100" priority="37" operator="containsText" text="Sin salvedades">
      <formula>NOT(ISERROR(SEARCH("Sin salvedades",D21)))</formula>
    </cfRule>
    <cfRule type="containsText" dxfId="99" priority="39" operator="containsText" text="Con salvedades">
      <formula>NOT(ISERROR(SEARCH("Con salvedades",D21)))</formula>
    </cfRule>
    <cfRule type="containsText" dxfId="98" priority="36" operator="containsText" text="Sin salvedades">
      <formula>NOT(ISERROR(SEARCH("Sin salvedades",D21)))</formula>
    </cfRule>
    <cfRule type="containsText" dxfId="97" priority="35" operator="containsText" text="Negativa o abstención">
      <formula>NOT(ISERROR(SEARCH("Negativa o abstención",D21)))</formula>
    </cfRule>
    <cfRule type="containsText" dxfId="96" priority="34" operator="containsText" text="Negativa o abstención">
      <formula>NOT(ISERROR(SEARCH("Negativa o abstención",D21)))</formula>
    </cfRule>
    <cfRule type="containsText" dxfId="95" priority="33" operator="containsText" text="Fenecida">
      <formula>NOT(ISERROR(SEARCH("Fenecida",D21)))</formula>
    </cfRule>
    <cfRule type="containsText" dxfId="94" priority="31" operator="containsText" text="No fenecida">
      <formula>NOT(ISERROR(SEARCH("No fenecida",D21)))</formula>
    </cfRule>
    <cfRule type="containsText" dxfId="93" priority="32" operator="containsText" text="No fenecida">
      <formula>NOT(ISERROR(SEARCH("No fenecida",D21)))</formula>
    </cfRule>
    <cfRule type="containsText" dxfId="92" priority="40" operator="containsText" text="Negativa o abstención">
      <formula>NOT(ISERROR(SEARCH("Negativa o abstención",D21)))</formula>
    </cfRule>
    <cfRule type="containsText" dxfId="91" priority="41" operator="containsText" text="Con salvedades">
      <formula>NOT(ISERROR(SEARCH("Con salvedades",D21)))</formula>
    </cfRule>
    <cfRule type="containsText" dxfId="90" priority="42" operator="containsText" text="Con salvedades">
      <formula>NOT(ISERROR(SEARCH("Con salvedades",D21)))</formula>
    </cfRule>
    <cfRule type="containsText" dxfId="89" priority="43" operator="containsText" text="Sin salvedades">
      <formula>NOT(ISERROR(SEARCH("Sin salvedades",D21)))</formula>
    </cfRule>
  </conditionalFormatting>
  <conditionalFormatting sqref="E11">
    <cfRule type="colorScale" priority="30">
      <colorScale>
        <cfvo type="min"/>
        <cfvo type="max"/>
        <color rgb="FF63BE7B"/>
        <color rgb="FFFCFCFF"/>
      </colorScale>
    </cfRule>
  </conditionalFormatting>
  <conditionalFormatting sqref="E21">
    <cfRule type="containsText" dxfId="88" priority="14" operator="containsText" text="Eficiente">
      <formula>NOT(ISERROR(SEARCH("Eficiente",E21)))</formula>
    </cfRule>
    <cfRule type="containsText" dxfId="87" priority="13" operator="containsText" text="Medio">
      <formula>NOT(ISERROR(SEARCH("Medio",E21)))</formula>
    </cfRule>
    <cfRule type="containsText" dxfId="86" priority="12" operator="containsText" text="Ineficiente">
      <formula>NOT(ISERROR(SEARCH("Ineficiente",E21)))</formula>
    </cfRule>
  </conditionalFormatting>
  <conditionalFormatting sqref="F21">
    <cfRule type="containsText" dxfId="85" priority="26" operator="containsText" text="Bajo">
      <formula>NOT(ISERROR(SEARCH("Bajo",F21)))</formula>
    </cfRule>
    <cfRule type="containsText" dxfId="84" priority="25" operator="containsText" text="Medio">
      <formula>NOT(ISERROR(SEARCH("Medio",F21)))</formula>
    </cfRule>
    <cfRule type="containsText" dxfId="83" priority="24" operator="containsText" text="Alto">
      <formula>NOT(ISERROR(SEARCH("Alto",F21)))</formula>
    </cfRule>
  </conditionalFormatting>
  <conditionalFormatting sqref="P10">
    <cfRule type="colorScale" priority="29">
      <colorScale>
        <cfvo type="min"/>
        <cfvo type="max"/>
        <color rgb="FF63BE7B"/>
        <color rgb="FFFCFCFF"/>
      </colorScale>
    </cfRule>
  </conditionalFormatting>
  <conditionalFormatting sqref="AT11:AU11">
    <cfRule type="cellIs" dxfId="82" priority="28" operator="greaterThanOrEqual">
      <formula>1</formula>
    </cfRule>
    <cfRule type="cellIs" dxfId="81" priority="27" operator="lessThanOrEqual">
      <formula>1</formula>
    </cfRule>
  </conditionalFormatting>
  <dataValidations count="10">
    <dataValidation type="list" allowBlank="1" showInputMessage="1" showErrorMessage="1" sqref="F21" xr:uid="{00000000-0002-0000-0B00-000000000000}">
      <formula1>$D$175:$D$177</formula1>
    </dataValidation>
    <dataValidation type="list" allowBlank="1" showInputMessage="1" showErrorMessage="1" sqref="E21" xr:uid="{00000000-0002-0000-0B00-000001000000}">
      <formula1>$E$175:$E$177</formula1>
    </dataValidation>
    <dataValidation type="list" allowBlank="1" showInputMessage="1" showErrorMessage="1" sqref="D21" xr:uid="{00000000-0002-0000-0B00-000002000000}">
      <formula1>$C$175:$C$177</formula1>
    </dataValidation>
    <dataValidation type="list" allowBlank="1" showInputMessage="1" showErrorMessage="1" sqref="C21" xr:uid="{00000000-0002-0000-0B00-000003000000}">
      <formula1>$B$175:$B$178</formula1>
    </dataValidation>
    <dataValidation type="list" allowBlank="1" showInputMessage="1" showErrorMessage="1" sqref="A21:B21" xr:uid="{00000000-0002-0000-0B00-000004000000}">
      <formula1>$A$175:$A$178</formula1>
    </dataValidation>
    <dataValidation type="list" allowBlank="1" showInputMessage="1" showErrorMessage="1" sqref="A78:A79 A82:A88" xr:uid="{00000000-0002-0000-0B00-000005000000}">
      <formula1>"60%,61%,62%,63%,64%,65%,66%,67%,68%,69%,70%,71%,72%,73%,74%,75%,76%,77%,78%,79%,80%"</formula1>
    </dataValidation>
    <dataValidation type="list" allowBlank="1" showInputMessage="1" showErrorMessage="1" sqref="B68:B72" xr:uid="{00000000-0002-0000-0B00-000006000000}">
      <formula1>"2%,3%,4%,5%"</formula1>
    </dataValidation>
    <dataValidation type="list" allowBlank="1" showInputMessage="1" showErrorMessage="1" sqref="A93:A100" xr:uid="{00000000-0002-0000-0B00-000007000000}">
      <formula1>"2%,3%,4%,5%,6%,7%,8%"</formula1>
    </dataValidation>
    <dataValidation type="decimal" operator="greaterThan" allowBlank="1" showInputMessage="1" showErrorMessage="1" sqref="B34 B39" xr:uid="{00000000-0002-0000-0B00-000008000000}">
      <formula1>0</formula1>
    </dataValidation>
    <dataValidation type="list" allowBlank="1" showInputMessage="1" showErrorMessage="1" sqref="H78:H79 H82:H88" xr:uid="{00000000-0002-0000-0B00-000009000000}">
      <formula1>$J$76:$J$77</formula1>
    </dataValidation>
  </dataValidations>
  <pageMargins left="0.7" right="0.7" top="0.75" bottom="0.75" header="0.3" footer="0.3"/>
  <pageSetup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A000000}">
          <x14:formula1>
            <xm:f>'C:\Users\USER\Documents\Matrices Auditoria Financiera de gestion y resultados\[PVCGF- 04-13 Instrumento para la Calificación a la Gestión Fiscal AFGR 230824.xlsm]DATOS ANÁLISIS'!#REF!</xm:f>
          </x14:formula1>
          <xm:sqref>C68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rgb="FF92D050"/>
  </sheetPr>
  <dimension ref="A1:Q129"/>
  <sheetViews>
    <sheetView topLeftCell="A76" zoomScale="70" zoomScaleNormal="70" workbookViewId="0">
      <selection sqref="A1:I1"/>
    </sheetView>
  </sheetViews>
  <sheetFormatPr baseColWidth="10" defaultColWidth="11.42578125" defaultRowHeight="14.25" x14ac:dyDescent="0.25"/>
  <cols>
    <col min="1" max="1" width="6.7109375" style="291" customWidth="1"/>
    <col min="2" max="2" width="45.140625" style="291" customWidth="1"/>
    <col min="3" max="3" width="35" style="291" customWidth="1"/>
    <col min="4" max="4" width="30.85546875" style="291" customWidth="1"/>
    <col min="5" max="5" width="37.42578125" style="291" customWidth="1"/>
    <col min="6" max="6" width="29.140625" style="291" customWidth="1"/>
    <col min="7" max="7" width="40.28515625" style="291" customWidth="1"/>
    <col min="8" max="8" width="34.42578125" style="291" customWidth="1"/>
    <col min="9" max="9" width="41.140625" style="291" customWidth="1"/>
    <col min="10" max="10" width="35.28515625" style="291" customWidth="1"/>
    <col min="11" max="11" width="49.5703125" style="291" customWidth="1"/>
    <col min="12" max="12" width="38.140625" style="291" customWidth="1"/>
    <col min="13" max="13" width="33.7109375" style="291" customWidth="1"/>
    <col min="14" max="14" width="45.28515625" style="291" customWidth="1"/>
    <col min="15" max="15" width="43.28515625" style="291" customWidth="1"/>
    <col min="16" max="16" width="11.42578125" style="291"/>
    <col min="17" max="17" width="16.42578125" style="291" customWidth="1"/>
    <col min="18" max="18" width="19.7109375" style="291" customWidth="1"/>
    <col min="19" max="16384" width="11.42578125" style="291"/>
  </cols>
  <sheetData>
    <row r="1" spans="1:17" x14ac:dyDescent="0.25">
      <c r="A1" s="2403"/>
      <c r="B1" s="2403"/>
      <c r="C1" s="2403"/>
      <c r="D1" s="2403"/>
      <c r="E1" s="2403"/>
      <c r="F1" s="2403"/>
      <c r="G1" s="2403"/>
      <c r="H1" s="2403"/>
      <c r="I1" s="2403"/>
    </row>
    <row r="2" spans="1:17" ht="59.25" customHeight="1" x14ac:dyDescent="0.25">
      <c r="A2" s="2218"/>
      <c r="B2" s="2218"/>
      <c r="C2" s="2405" t="s">
        <v>1593</v>
      </c>
      <c r="D2" s="2406"/>
      <c r="E2" s="2406"/>
      <c r="F2" s="2406"/>
      <c r="G2" s="2406"/>
      <c r="H2" s="2406"/>
      <c r="I2" s="2406"/>
      <c r="J2" s="2407"/>
      <c r="K2" s="2278" t="s">
        <v>1732</v>
      </c>
    </row>
    <row r="3" spans="1:17" ht="44.25" customHeight="1" x14ac:dyDescent="0.25">
      <c r="A3" s="2218"/>
      <c r="B3" s="2218"/>
      <c r="C3" s="2408"/>
      <c r="D3" s="2409"/>
      <c r="E3" s="2409"/>
      <c r="F3" s="2409"/>
      <c r="G3" s="2409"/>
      <c r="H3" s="2409"/>
      <c r="I3" s="2409"/>
      <c r="J3" s="2410"/>
      <c r="K3" s="2278"/>
    </row>
    <row r="4" spans="1:17" ht="15" customHeight="1" x14ac:dyDescent="0.25">
      <c r="A4" s="2404"/>
      <c r="B4" s="2404"/>
      <c r="C4" s="2404"/>
      <c r="D4" s="2404"/>
      <c r="E4" s="2404"/>
      <c r="F4" s="2404"/>
      <c r="G4" s="2404"/>
      <c r="H4" s="2404"/>
    </row>
    <row r="5" spans="1:17" ht="24.75" customHeight="1" x14ac:dyDescent="0.25">
      <c r="A5" s="2411" t="s">
        <v>1570</v>
      </c>
      <c r="B5" s="2411"/>
      <c r="C5" s="2411"/>
      <c r="D5" s="2411"/>
      <c r="E5" s="2411"/>
      <c r="F5" s="2411"/>
      <c r="G5" s="2411"/>
      <c r="H5" s="2411"/>
    </row>
    <row r="6" spans="1:17" ht="22.5" customHeight="1" x14ac:dyDescent="0.25">
      <c r="A6" s="2411" t="s">
        <v>1552</v>
      </c>
      <c r="B6" s="2411"/>
      <c r="C6" s="2411"/>
      <c r="D6" s="2411"/>
      <c r="E6" s="2411"/>
      <c r="F6" s="2411"/>
      <c r="G6" s="2411"/>
      <c r="H6" s="2411"/>
      <c r="I6" s="690"/>
      <c r="J6" s="690"/>
      <c r="K6" s="690"/>
      <c r="L6" s="690"/>
      <c r="M6" s="690"/>
      <c r="N6" s="690"/>
      <c r="O6" s="690"/>
      <c r="P6" s="690"/>
      <c r="Q6" s="690"/>
    </row>
    <row r="7" spans="1:17" ht="18" customHeight="1" x14ac:dyDescent="0.25">
      <c r="A7" s="2412"/>
      <c r="B7" s="2412"/>
      <c r="C7" s="2412"/>
      <c r="D7" s="2412"/>
      <c r="E7" s="2412"/>
      <c r="F7" s="2412"/>
      <c r="G7" s="2412"/>
      <c r="H7" s="2412"/>
    </row>
    <row r="8" spans="1:17" ht="25.5" customHeight="1" x14ac:dyDescent="0.25">
      <c r="A8" s="2402" t="s">
        <v>0</v>
      </c>
      <c r="B8" s="2402"/>
      <c r="C8" s="1856" t="str">
        <f>+FENECIMIENTO!D4</f>
        <v xml:space="preserve">80000 - DIRECCIÓN SECTOR MOVILIDAD </v>
      </c>
      <c r="D8" s="1856"/>
      <c r="E8" s="691"/>
      <c r="F8" s="9" t="s">
        <v>759</v>
      </c>
      <c r="G8" s="2414"/>
      <c r="H8" s="2414"/>
    </row>
    <row r="9" spans="1:17" ht="43.5" customHeight="1" x14ac:dyDescent="0.25">
      <c r="A9" s="2413" t="s">
        <v>1144</v>
      </c>
      <c r="B9" s="2413"/>
      <c r="C9" s="2251" t="str">
        <f>+FENECIMIENTO!D5</f>
        <v xml:space="preserve">262 - Empresa de Transporte del Tercer Milenio - Transmilenio S.A. </v>
      </c>
      <c r="D9" s="2252"/>
      <c r="E9" s="691"/>
      <c r="F9" s="600" t="s">
        <v>2</v>
      </c>
      <c r="G9" s="1856">
        <f>+FENECIMIENTO!K5</f>
        <v>2024</v>
      </c>
      <c r="H9" s="1856"/>
    </row>
    <row r="10" spans="1:17" ht="27" customHeight="1" x14ac:dyDescent="0.25">
      <c r="A10" s="2402" t="s">
        <v>1589</v>
      </c>
      <c r="B10" s="2402"/>
      <c r="C10" s="2213">
        <f>+FENECIMIENTO!D6</f>
        <v>2025</v>
      </c>
      <c r="D10" s="2213"/>
      <c r="E10" s="300"/>
      <c r="F10" s="600" t="s">
        <v>3</v>
      </c>
      <c r="G10" s="2213">
        <f>+FENECIMIENTO!K6</f>
        <v>87</v>
      </c>
      <c r="H10" s="2213"/>
    </row>
    <row r="11" spans="1:17" ht="29.25" customHeight="1" x14ac:dyDescent="0.25">
      <c r="A11" s="2402" t="s">
        <v>4</v>
      </c>
      <c r="B11" s="2402"/>
      <c r="C11" s="2214">
        <f>+FENECIMIENTO!D7</f>
        <v>45693</v>
      </c>
      <c r="D11" s="2213"/>
      <c r="E11" s="692"/>
      <c r="F11" s="600" t="s">
        <v>1145</v>
      </c>
      <c r="G11" s="2214">
        <f>+FENECIMIENTO!K7</f>
        <v>45693</v>
      </c>
      <c r="H11" s="2213"/>
    </row>
    <row r="12" spans="1:17" ht="13.5" customHeight="1" x14ac:dyDescent="0.25">
      <c r="A12" s="694"/>
      <c r="B12" s="691"/>
      <c r="F12" s="695"/>
      <c r="G12" s="696"/>
      <c r="H12" s="696"/>
    </row>
    <row r="13" spans="1:17" ht="12" customHeight="1" x14ac:dyDescent="0.25">
      <c r="A13" s="697"/>
      <c r="B13" s="698"/>
      <c r="C13" s="699"/>
      <c r="D13" s="699"/>
      <c r="E13" s="699"/>
      <c r="F13" s="697"/>
      <c r="G13" s="697"/>
      <c r="H13" s="700"/>
    </row>
    <row r="14" spans="1:17" ht="8.25" customHeight="1" x14ac:dyDescent="0.25">
      <c r="B14" s="701"/>
      <c r="C14" s="701"/>
      <c r="D14" s="701"/>
      <c r="E14" s="701"/>
      <c r="F14" s="701"/>
      <c r="G14" s="701"/>
      <c r="H14" s="701"/>
    </row>
    <row r="15" spans="1:17" ht="18" customHeight="1" x14ac:dyDescent="0.25">
      <c r="B15" s="1620" t="s">
        <v>1749</v>
      </c>
      <c r="C15" s="701"/>
      <c r="D15" s="701"/>
      <c r="E15" s="701"/>
      <c r="F15" s="701"/>
      <c r="G15" s="701"/>
      <c r="H15" s="701"/>
    </row>
    <row r="16" spans="1:17" ht="18" customHeight="1" x14ac:dyDescent="0.25">
      <c r="A16" s="694"/>
      <c r="B16" s="694"/>
      <c r="C16" s="702"/>
      <c r="D16" s="702"/>
      <c r="E16" s="702"/>
      <c r="F16" s="702"/>
      <c r="G16" s="693"/>
      <c r="H16" s="598"/>
    </row>
    <row r="17" spans="1:12" ht="29.25" customHeight="1" x14ac:dyDescent="0.25">
      <c r="A17" s="2401" t="s">
        <v>1565</v>
      </c>
      <c r="B17" s="2401"/>
      <c r="C17" s="2401"/>
      <c r="D17" s="2401"/>
      <c r="E17" s="2401"/>
      <c r="F17" s="2401"/>
      <c r="G17" s="2401"/>
      <c r="H17" s="2401"/>
      <c r="I17" s="2401"/>
      <c r="J17" s="2401"/>
      <c r="K17" s="2401"/>
    </row>
    <row r="18" spans="1:12" ht="28.9" customHeight="1" x14ac:dyDescent="0.25">
      <c r="A18" s="703"/>
      <c r="B18" s="2378" t="s">
        <v>1748</v>
      </c>
      <c r="C18" s="2378"/>
      <c r="D18" s="2378"/>
      <c r="E18" s="703"/>
      <c r="F18" s="703"/>
      <c r="G18" s="703"/>
      <c r="H18" s="703"/>
      <c r="I18" s="703"/>
      <c r="J18" s="597"/>
      <c r="K18" s="597"/>
      <c r="L18" s="597"/>
    </row>
    <row r="19" spans="1:12" s="1614" customFormat="1" ht="7.5" customHeight="1" x14ac:dyDescent="0.25">
      <c r="A19" s="1612"/>
      <c r="B19" s="1613"/>
      <c r="C19" s="1613"/>
      <c r="D19" s="1613"/>
      <c r="E19" s="1612"/>
      <c r="F19" s="1612"/>
      <c r="G19" s="1612"/>
      <c r="H19" s="1612"/>
      <c r="I19" s="1612"/>
      <c r="J19" s="697"/>
      <c r="K19" s="697"/>
      <c r="L19" s="697"/>
    </row>
    <row r="20" spans="1:12" ht="75" customHeight="1" thickBot="1" x14ac:dyDescent="0.3">
      <c r="A20" s="703"/>
      <c r="B20" s="2400" t="s">
        <v>1754</v>
      </c>
      <c r="C20" s="2400"/>
      <c r="D20" s="2400"/>
      <c r="E20" s="2400"/>
      <c r="F20" s="2400"/>
      <c r="G20" s="1621"/>
      <c r="H20" s="1621"/>
      <c r="I20" s="1621"/>
      <c r="J20" s="1621"/>
      <c r="K20" s="1621"/>
      <c r="L20" s="597"/>
    </row>
    <row r="21" spans="1:12" ht="24.6" customHeight="1" thickBot="1" x14ac:dyDescent="0.3">
      <c r="A21" s="2388"/>
      <c r="B21" s="2389" t="s">
        <v>1146</v>
      </c>
      <c r="C21" s="2390"/>
      <c r="D21" s="2390"/>
      <c r="E21" s="2390"/>
      <c r="F21" s="2391"/>
      <c r="G21" s="2392" t="s">
        <v>208</v>
      </c>
      <c r="H21" s="2394" t="s">
        <v>987</v>
      </c>
      <c r="I21" s="2394" t="s">
        <v>988</v>
      </c>
      <c r="J21" s="2396" t="s">
        <v>989</v>
      </c>
      <c r="K21" s="2398" t="s">
        <v>177</v>
      </c>
      <c r="L21" s="597"/>
    </row>
    <row r="22" spans="1:12" ht="57.75" customHeight="1" thickBot="1" x14ac:dyDescent="0.3">
      <c r="A22" s="2388"/>
      <c r="B22" s="1615" t="s">
        <v>464</v>
      </c>
      <c r="C22" s="1616" t="s">
        <v>990</v>
      </c>
      <c r="D22" s="1616" t="s">
        <v>991</v>
      </c>
      <c r="E22" s="1616" t="s">
        <v>992</v>
      </c>
      <c r="F22" s="1610" t="s">
        <v>993</v>
      </c>
      <c r="G22" s="2393"/>
      <c r="H22" s="2395"/>
      <c r="I22" s="2395"/>
      <c r="J22" s="2397"/>
      <c r="K22" s="2399"/>
      <c r="L22" s="597"/>
    </row>
    <row r="23" spans="1:12" ht="79.5" customHeight="1" x14ac:dyDescent="0.25">
      <c r="A23" s="704" t="s">
        <v>492</v>
      </c>
      <c r="B23" s="1226" t="s">
        <v>1147</v>
      </c>
      <c r="C23" s="1242" t="s">
        <v>1148</v>
      </c>
      <c r="D23" s="1241">
        <f>(4500000/5410000)</f>
        <v>0.83179297597042512</v>
      </c>
      <c r="E23" s="1228" t="s">
        <v>998</v>
      </c>
      <c r="F23" s="1227" t="s">
        <v>1149</v>
      </c>
      <c r="G23" s="1228" t="s">
        <v>192</v>
      </c>
      <c r="H23" s="2415" t="s">
        <v>1150</v>
      </c>
      <c r="I23" s="1227" t="s">
        <v>1151</v>
      </c>
      <c r="J23" s="2379" t="s">
        <v>1152</v>
      </c>
      <c r="K23" s="1229">
        <f>IF(D23="","",D23)</f>
        <v>0.83179297597042512</v>
      </c>
    </row>
    <row r="24" spans="1:12" ht="72" customHeight="1" x14ac:dyDescent="0.25">
      <c r="A24" s="704" t="s">
        <v>492</v>
      </c>
      <c r="B24" s="1230" t="s">
        <v>1153</v>
      </c>
      <c r="C24" s="1243" t="s">
        <v>1154</v>
      </c>
      <c r="D24" s="1241">
        <f>(83462378626/88180338979)</f>
        <v>0.94649645932838189</v>
      </c>
      <c r="E24" s="1232" t="s">
        <v>998</v>
      </c>
      <c r="F24" s="1231" t="s">
        <v>1155</v>
      </c>
      <c r="G24" s="1232" t="s">
        <v>192</v>
      </c>
      <c r="H24" s="1999"/>
      <c r="I24" s="1231" t="s">
        <v>1156</v>
      </c>
      <c r="J24" s="2380"/>
      <c r="K24" s="1233">
        <f t="shared" ref="K24:K31" si="0">IF(D24="","",D24)</f>
        <v>0.94649645932838189</v>
      </c>
    </row>
    <row r="25" spans="1:12" ht="75.75" customHeight="1" x14ac:dyDescent="0.25">
      <c r="A25" s="704" t="s">
        <v>492</v>
      </c>
      <c r="B25" s="1230" t="s">
        <v>1157</v>
      </c>
      <c r="C25" s="1243" t="s">
        <v>1158</v>
      </c>
      <c r="D25" s="1241">
        <f>(23462378626/28180338979)</f>
        <v>0.8325797160738263</v>
      </c>
      <c r="E25" s="1232" t="s">
        <v>998</v>
      </c>
      <c r="F25" s="1231" t="s">
        <v>1159</v>
      </c>
      <c r="G25" s="1232" t="s">
        <v>192</v>
      </c>
      <c r="H25" s="1999"/>
      <c r="I25" s="1231" t="s">
        <v>1160</v>
      </c>
      <c r="J25" s="2380"/>
      <c r="K25" s="1233">
        <f t="shared" si="0"/>
        <v>0.8325797160738263</v>
      </c>
    </row>
    <row r="26" spans="1:12" ht="101.25" customHeight="1" x14ac:dyDescent="0.25">
      <c r="A26" s="704"/>
      <c r="B26" s="1234" t="s">
        <v>1161</v>
      </c>
      <c r="C26" s="1244" t="s">
        <v>1162</v>
      </c>
      <c r="D26" s="1241">
        <f>(23462378626/28180338979)</f>
        <v>0.8325797160738263</v>
      </c>
      <c r="E26" s="1236" t="s">
        <v>998</v>
      </c>
      <c r="F26" s="1235" t="s">
        <v>1163</v>
      </c>
      <c r="G26" s="1232" t="s">
        <v>192</v>
      </c>
      <c r="H26" s="1999"/>
      <c r="I26" s="1231" t="s">
        <v>1164</v>
      </c>
      <c r="J26" s="2380"/>
      <c r="K26" s="1233">
        <f t="shared" si="0"/>
        <v>0.8325797160738263</v>
      </c>
    </row>
    <row r="27" spans="1:12" ht="82.5" customHeight="1" x14ac:dyDescent="0.25">
      <c r="A27" s="704"/>
      <c r="B27" s="1234" t="s">
        <v>1165</v>
      </c>
      <c r="C27" s="1244" t="s">
        <v>1166</v>
      </c>
      <c r="D27" s="1241">
        <f>(1000000/1800000)</f>
        <v>0.55555555555555558</v>
      </c>
      <c r="E27" s="1236" t="s">
        <v>998</v>
      </c>
      <c r="F27" s="1235" t="s">
        <v>1167</v>
      </c>
      <c r="G27" s="1232" t="s">
        <v>192</v>
      </c>
      <c r="H27" s="1999"/>
      <c r="I27" s="1231" t="s">
        <v>1168</v>
      </c>
      <c r="J27" s="2380"/>
      <c r="K27" s="1233">
        <f t="shared" si="0"/>
        <v>0.55555555555555558</v>
      </c>
    </row>
    <row r="28" spans="1:12" ht="81.75" customHeight="1" x14ac:dyDescent="0.25">
      <c r="A28" s="704"/>
      <c r="B28" s="1234" t="s">
        <v>1169</v>
      </c>
      <c r="C28" s="1244" t="s">
        <v>1170</v>
      </c>
      <c r="D28" s="1241">
        <f>(1000000/1900000)</f>
        <v>0.52631578947368418</v>
      </c>
      <c r="E28" s="1236" t="s">
        <v>998</v>
      </c>
      <c r="F28" s="1235" t="s">
        <v>1171</v>
      </c>
      <c r="G28" s="1232" t="s">
        <v>192</v>
      </c>
      <c r="H28" s="1999"/>
      <c r="I28" s="1231" t="s">
        <v>1172</v>
      </c>
      <c r="J28" s="2380"/>
      <c r="K28" s="1233">
        <f t="shared" si="0"/>
        <v>0.52631578947368418</v>
      </c>
    </row>
    <row r="29" spans="1:12" ht="78" customHeight="1" x14ac:dyDescent="0.25">
      <c r="A29" s="704"/>
      <c r="B29" s="1230" t="s">
        <v>1173</v>
      </c>
      <c r="C29" s="1243" t="s">
        <v>1174</v>
      </c>
      <c r="D29" s="1241">
        <f>(19546282282/188180338979)</f>
        <v>0.10386994936905321</v>
      </c>
      <c r="E29" s="1232" t="s">
        <v>998</v>
      </c>
      <c r="F29" s="1231" t="s">
        <v>1175</v>
      </c>
      <c r="G29" s="1232" t="s">
        <v>192</v>
      </c>
      <c r="H29" s="1999"/>
      <c r="I29" s="2382" t="s">
        <v>1176</v>
      </c>
      <c r="J29" s="2380"/>
      <c r="K29" s="1233">
        <f>IF(D29="","",IF(D29&gt;0,IF(OR((1-D29)&gt;0.8,(1-D29)&gt;0.5),1-D29-0.1,1-D29),1+D29))</f>
        <v>0.79613005063094677</v>
      </c>
    </row>
    <row r="30" spans="1:12" ht="84" customHeight="1" x14ac:dyDescent="0.25">
      <c r="A30" s="704"/>
      <c r="B30" s="1230" t="s">
        <v>1177</v>
      </c>
      <c r="C30" s="1243" t="s">
        <v>1178</v>
      </c>
      <c r="D30" s="1241">
        <f>(6546282262/128180338979)</f>
        <v>5.1070876502148185E-2</v>
      </c>
      <c r="E30" s="1232" t="s">
        <v>998</v>
      </c>
      <c r="F30" s="1231" t="s">
        <v>1175</v>
      </c>
      <c r="G30" s="1232" t="s">
        <v>192</v>
      </c>
      <c r="H30" s="1999"/>
      <c r="I30" s="2383"/>
      <c r="J30" s="2380"/>
      <c r="K30" s="1233">
        <f>IF(D30="","",IF(D30&gt;0,IF(OR((1-D30)&gt;0.8,(1-D30)&gt;0.5),1-D30-0.1,1-D30),1+D30))</f>
        <v>0.84892912349785188</v>
      </c>
      <c r="L30" s="705"/>
    </row>
    <row r="31" spans="1:12" ht="63.75" x14ac:dyDescent="0.25">
      <c r="A31" s="704"/>
      <c r="B31" s="1230" t="s">
        <v>1179</v>
      </c>
      <c r="C31" s="1243" t="s">
        <v>1180</v>
      </c>
      <c r="D31" s="1241">
        <f>(23462378626/28180338979)</f>
        <v>0.8325797160738263</v>
      </c>
      <c r="E31" s="1232" t="s">
        <v>998</v>
      </c>
      <c r="F31" s="1231" t="s">
        <v>1181</v>
      </c>
      <c r="G31" s="1232" t="s">
        <v>192</v>
      </c>
      <c r="H31" s="1999"/>
      <c r="I31" s="1231" t="s">
        <v>1182</v>
      </c>
      <c r="J31" s="2380"/>
      <c r="K31" s="1233">
        <f t="shared" si="0"/>
        <v>0.8325797160738263</v>
      </c>
    </row>
    <row r="32" spans="1:12" ht="103.5" customHeight="1" thickBot="1" x14ac:dyDescent="0.3">
      <c r="A32" s="704"/>
      <c r="B32" s="1237" t="s">
        <v>1183</v>
      </c>
      <c r="C32" s="1245" t="s">
        <v>1184</v>
      </c>
      <c r="D32" s="1597">
        <f>(29546223626/228180338979)</f>
        <v>0.12948628158852551</v>
      </c>
      <c r="E32" s="1239" t="s">
        <v>998</v>
      </c>
      <c r="F32" s="1238" t="s">
        <v>1185</v>
      </c>
      <c r="G32" s="1239" t="s">
        <v>192</v>
      </c>
      <c r="H32" s="2416"/>
      <c r="I32" s="1238" t="s">
        <v>1186</v>
      </c>
      <c r="J32" s="2381"/>
      <c r="K32" s="1240">
        <f>IF(D32="","",IF(D32&gt;0,1-D32,1+D32))</f>
        <v>0.87051371841147451</v>
      </c>
    </row>
    <row r="33" spans="1:15" ht="103.5" customHeight="1" thickBot="1" x14ac:dyDescent="0.3">
      <c r="A33" s="706"/>
      <c r="B33" s="1650" t="s">
        <v>1187</v>
      </c>
      <c r="C33" s="1651" t="s">
        <v>1188</v>
      </c>
      <c r="D33" s="1649">
        <f>(1521000/2235411)</f>
        <v>0.68041179004666252</v>
      </c>
      <c r="E33" s="1652" t="s">
        <v>998</v>
      </c>
      <c r="F33" s="1653" t="s">
        <v>1189</v>
      </c>
      <c r="G33" s="1652" t="s">
        <v>192</v>
      </c>
      <c r="H33" s="1654" t="s">
        <v>1190</v>
      </c>
      <c r="I33" s="1655" t="s">
        <v>1191</v>
      </c>
      <c r="J33" s="1655" t="s">
        <v>1192</v>
      </c>
      <c r="K33" s="1240">
        <f>IF(D33="","",D33)</f>
        <v>0.68041179004666252</v>
      </c>
    </row>
    <row r="34" spans="1:15" ht="34.5" customHeight="1" x14ac:dyDescent="0.25">
      <c r="A34" s="706"/>
      <c r="B34" s="707"/>
      <c r="C34" s="708"/>
      <c r="D34" s="709"/>
      <c r="E34" s="710"/>
      <c r="F34" s="711"/>
      <c r="G34" s="712"/>
      <c r="H34" s="713"/>
      <c r="I34" s="708"/>
      <c r="J34" s="710"/>
      <c r="K34" s="714"/>
    </row>
    <row r="35" spans="1:15" ht="103.5" hidden="1" customHeight="1" x14ac:dyDescent="0.25">
      <c r="A35" s="715"/>
      <c r="F35" s="716"/>
      <c r="G35" s="717"/>
      <c r="H35" s="718"/>
      <c r="I35" s="719"/>
      <c r="J35" s="719"/>
      <c r="K35" s="719"/>
      <c r="L35" s="720"/>
      <c r="M35" s="720"/>
      <c r="N35" s="721"/>
    </row>
    <row r="36" spans="1:15" ht="28.9" customHeight="1" x14ac:dyDescent="0.25">
      <c r="A36" s="722"/>
      <c r="B36" s="2384"/>
      <c r="C36" s="2384"/>
      <c r="D36" s="708"/>
      <c r="E36" s="708"/>
      <c r="F36" s="723"/>
      <c r="G36" s="712"/>
      <c r="H36" s="724"/>
      <c r="K36" s="725"/>
      <c r="N36" s="726"/>
    </row>
    <row r="37" spans="1:15" ht="44.25" customHeight="1" x14ac:dyDescent="0.25">
      <c r="A37" s="2385" t="s">
        <v>1566</v>
      </c>
      <c r="B37" s="2386"/>
      <c r="C37" s="2386"/>
      <c r="D37" s="2386"/>
      <c r="E37" s="2386"/>
      <c r="F37" s="2386"/>
      <c r="G37" s="2386"/>
      <c r="H37" s="2386"/>
      <c r="I37" s="2386"/>
      <c r="J37" s="2386"/>
      <c r="K37" s="2386"/>
      <c r="L37" s="2386"/>
      <c r="M37" s="2386"/>
      <c r="N37" s="2387"/>
    </row>
    <row r="38" spans="1:15" ht="52.15" customHeight="1" thickBot="1" x14ac:dyDescent="0.3">
      <c r="A38" s="727"/>
      <c r="B38" s="2363" t="s">
        <v>1770</v>
      </c>
      <c r="C38" s="2363"/>
      <c r="D38" s="2363"/>
      <c r="E38" s="2363"/>
      <c r="F38" s="2363"/>
      <c r="G38" s="2363"/>
      <c r="H38" s="1630"/>
      <c r="I38" s="1630"/>
      <c r="N38" s="726"/>
    </row>
    <row r="39" spans="1:15" ht="81.75" customHeight="1" x14ac:dyDescent="0.25">
      <c r="A39" s="728" t="s">
        <v>1576</v>
      </c>
      <c r="B39" s="729" t="s">
        <v>1193</v>
      </c>
      <c r="C39" s="729" t="s">
        <v>1194</v>
      </c>
      <c r="D39" s="729" t="s">
        <v>1195</v>
      </c>
      <c r="E39" s="2417" t="s">
        <v>1196</v>
      </c>
      <c r="F39" s="2418"/>
      <c r="G39" s="729" t="s">
        <v>1197</v>
      </c>
      <c r="H39" s="729" t="s">
        <v>1198</v>
      </c>
      <c r="I39" s="729" t="s">
        <v>1199</v>
      </c>
      <c r="J39" s="729" t="s">
        <v>1200</v>
      </c>
      <c r="K39" s="729" t="s">
        <v>1201</v>
      </c>
      <c r="L39" s="729" t="s">
        <v>1202</v>
      </c>
      <c r="M39" s="729" t="s">
        <v>1203</v>
      </c>
      <c r="N39" s="730" t="s">
        <v>1204</v>
      </c>
      <c r="O39" s="731" t="s">
        <v>1205</v>
      </c>
    </row>
    <row r="40" spans="1:15" s="597" customFormat="1" ht="87" customHeight="1" x14ac:dyDescent="0.25">
      <c r="A40" s="1604">
        <v>1</v>
      </c>
      <c r="B40" s="1605" t="s">
        <v>1206</v>
      </c>
      <c r="C40" s="1167" t="s">
        <v>1362</v>
      </c>
      <c r="D40" s="1599" t="s">
        <v>469</v>
      </c>
      <c r="E40" s="2367" t="s">
        <v>1660</v>
      </c>
      <c r="F40" s="2367"/>
      <c r="G40" s="1167" t="s">
        <v>1315</v>
      </c>
      <c r="H40" s="1599" t="s">
        <v>1331</v>
      </c>
      <c r="I40" s="1600">
        <v>10</v>
      </c>
      <c r="J40" s="1609">
        <f>IF(I40="","",IF(D40="","",IF(I40/VLOOKUP(D40,'MATERIALIDAD PRESUPUESTAL'!$A$34:$B$50,2,)*100&gt;0,I40/VLOOKUP(D40,'MATERIALIDAD PRESUPUESTAL'!$A$34:$B$50,2,),"")))</f>
        <v>0.01</v>
      </c>
      <c r="K40" s="1601" t="s">
        <v>1211</v>
      </c>
      <c r="L40" s="1602"/>
      <c r="M40" s="1599" t="s">
        <v>893</v>
      </c>
      <c r="N40" s="1603" t="s">
        <v>1212</v>
      </c>
      <c r="O40" s="1166"/>
    </row>
    <row r="41" spans="1:15" s="597" customFormat="1" ht="115.5" customHeight="1" x14ac:dyDescent="0.25">
      <c r="A41" s="1604">
        <v>2</v>
      </c>
      <c r="B41" s="1605" t="s">
        <v>1213</v>
      </c>
      <c r="C41" s="1167" t="s">
        <v>1214</v>
      </c>
      <c r="D41" s="1599" t="s">
        <v>498</v>
      </c>
      <c r="E41" s="2367" t="s">
        <v>1577</v>
      </c>
      <c r="F41" s="2367"/>
      <c r="G41" s="1167" t="s">
        <v>1209</v>
      </c>
      <c r="H41" s="1599" t="s">
        <v>1229</v>
      </c>
      <c r="I41" s="1600">
        <v>5</v>
      </c>
      <c r="J41" s="1609">
        <f>IF(I41="","",IF(D41="","",IF(I41/VLOOKUP(D41,'MATERIALIDAD PRESUPUESTAL'!$A$34:$B$50,2,)*100&gt;0,I41/VLOOKUP(D41,'MATERIALIDAD PRESUPUESTAL'!$A$34:$B$50,2,),"")))</f>
        <v>5.0000000000000001E-3</v>
      </c>
      <c r="K41" s="1601" t="s">
        <v>1216</v>
      </c>
      <c r="L41" s="1602"/>
      <c r="M41" s="1599" t="s">
        <v>893</v>
      </c>
      <c r="N41" s="1603" t="s">
        <v>1217</v>
      </c>
      <c r="O41" s="1166"/>
    </row>
    <row r="42" spans="1:15" s="597" customFormat="1" ht="129" customHeight="1" x14ac:dyDescent="0.25">
      <c r="A42" s="1604">
        <v>3</v>
      </c>
      <c r="B42" s="1606" t="s">
        <v>1218</v>
      </c>
      <c r="C42" s="1167" t="s">
        <v>1231</v>
      </c>
      <c r="D42" s="1599" t="s">
        <v>788</v>
      </c>
      <c r="E42" s="2367" t="s">
        <v>1208</v>
      </c>
      <c r="F42" s="2367"/>
      <c r="G42" s="1167" t="s">
        <v>1209</v>
      </c>
      <c r="H42" s="1599" t="s">
        <v>1307</v>
      </c>
      <c r="I42" s="1600">
        <v>2</v>
      </c>
      <c r="J42" s="1609">
        <f>IF(I42="","",IF(D42="","",IF(I42/VLOOKUP(D42,'MATERIALIDAD PRESUPUESTAL'!$A$34:$B$50,2,)*100&gt;0,I42/VLOOKUP(D42,'MATERIALIDAD PRESUPUESTAL'!$A$34:$B$50,2,),"")))</f>
        <v>2.8571428571428571E-3</v>
      </c>
      <c r="K42" s="1601" t="s">
        <v>1221</v>
      </c>
      <c r="L42" s="1602"/>
      <c r="M42" s="1599" t="s">
        <v>893</v>
      </c>
      <c r="N42" s="1603" t="s">
        <v>1223</v>
      </c>
      <c r="O42" s="1166"/>
    </row>
    <row r="43" spans="1:15" s="597" customFormat="1" ht="15" x14ac:dyDescent="0.25">
      <c r="A43" s="1604">
        <v>4</v>
      </c>
      <c r="B43" s="1606"/>
      <c r="C43" s="1167"/>
      <c r="D43" s="1599"/>
      <c r="E43" s="2367"/>
      <c r="F43" s="2367"/>
      <c r="G43" s="1167"/>
      <c r="H43" s="1599"/>
      <c r="I43" s="1600"/>
      <c r="J43" s="1609" t="str">
        <f>IF(I43="","",IF(D43="","",IF(I43/VLOOKUP(D43,'MATERIALIDAD PRESUPUESTAL'!$A$34:$B$50,2,)*100&gt;0,I43/VLOOKUP(D43,'MATERIALIDAD PRESUPUESTAL'!$A$34:$B$50,2,),"")))</f>
        <v/>
      </c>
      <c r="K43" s="1601"/>
      <c r="L43" s="1602"/>
      <c r="M43" s="1599"/>
      <c r="N43" s="1603"/>
      <c r="O43" s="1166"/>
    </row>
    <row r="44" spans="1:15" s="597" customFormat="1" ht="15" x14ac:dyDescent="0.25">
      <c r="A44" s="1604">
        <v>5</v>
      </c>
      <c r="B44" s="1606"/>
      <c r="C44" s="1167"/>
      <c r="D44" s="1599"/>
      <c r="E44" s="2367"/>
      <c r="F44" s="2367"/>
      <c r="G44" s="1167"/>
      <c r="H44" s="1599"/>
      <c r="I44" s="1600"/>
      <c r="J44" s="1609" t="str">
        <f>IF(I44="","",IF(D44="","",IF(I44/VLOOKUP(D44,'MATERIALIDAD PRESUPUESTAL'!$A$34:$B$50,2,)*100&gt;0,I44/VLOOKUP(D44,'MATERIALIDAD PRESUPUESTAL'!$A$34:$B$50,2,),"")))</f>
        <v/>
      </c>
      <c r="K44" s="1601"/>
      <c r="L44" s="1602"/>
      <c r="M44" s="1599"/>
      <c r="N44" s="1603"/>
      <c r="O44" s="1166"/>
    </row>
    <row r="45" spans="1:15" s="597" customFormat="1" ht="15" x14ac:dyDescent="0.25">
      <c r="A45" s="1604">
        <v>6</v>
      </c>
      <c r="B45" s="1607"/>
      <c r="C45" s="1167"/>
      <c r="D45" s="1599"/>
      <c r="E45" s="2367"/>
      <c r="F45" s="2367"/>
      <c r="G45" s="1167"/>
      <c r="H45" s="1599"/>
      <c r="I45" s="1600"/>
      <c r="J45" s="1609" t="str">
        <f>IF(I45="","",IF(D45="","",IF(I45/VLOOKUP(D45,'MATERIALIDAD PRESUPUESTAL'!$A$34:$B$50,2,)*100&gt;0,I45/VLOOKUP(D45,'MATERIALIDAD PRESUPUESTAL'!$A$34:$B$50,2,),"")))</f>
        <v/>
      </c>
      <c r="K45" s="1601"/>
      <c r="L45" s="1602"/>
      <c r="M45" s="1599"/>
      <c r="N45" s="1603"/>
      <c r="O45" s="1166"/>
    </row>
    <row r="46" spans="1:15" s="597" customFormat="1" ht="15" x14ac:dyDescent="0.25">
      <c r="A46" s="1604">
        <v>7</v>
      </c>
      <c r="B46" s="1607"/>
      <c r="C46" s="1167"/>
      <c r="D46" s="1599"/>
      <c r="E46" s="2367"/>
      <c r="F46" s="2367"/>
      <c r="G46" s="1167"/>
      <c r="H46" s="1599"/>
      <c r="I46" s="1600"/>
      <c r="J46" s="1609" t="str">
        <f>IF(I46="","",IF(D46="","",IF(I46/VLOOKUP(D46,'MATERIALIDAD PRESUPUESTAL'!$A$34:$B$50,2,)*100&gt;0,I46/VLOOKUP(D46,'MATERIALIDAD PRESUPUESTAL'!$A$34:$B$50,2,),"")))</f>
        <v/>
      </c>
      <c r="K46" s="1601"/>
      <c r="L46" s="1602"/>
      <c r="M46" s="1599"/>
      <c r="N46" s="1603"/>
      <c r="O46" s="1166"/>
    </row>
    <row r="47" spans="1:15" s="597" customFormat="1" ht="15" x14ac:dyDescent="0.25">
      <c r="A47" s="1604">
        <v>8</v>
      </c>
      <c r="B47" s="1607"/>
      <c r="C47" s="1167"/>
      <c r="D47" s="1599"/>
      <c r="E47" s="2367"/>
      <c r="F47" s="2367"/>
      <c r="G47" s="1167"/>
      <c r="H47" s="1599"/>
      <c r="I47" s="1600"/>
      <c r="J47" s="1609" t="str">
        <f>IF(I47="","",IF(D47="","",IF(I47/VLOOKUP(D47,'MATERIALIDAD PRESUPUESTAL'!$A$34:$B$50,2,)*100&gt;0,I47/VLOOKUP(D47,'MATERIALIDAD PRESUPUESTAL'!$A$34:$B$50,2,),"")))</f>
        <v/>
      </c>
      <c r="K47" s="1601"/>
      <c r="L47" s="1602"/>
      <c r="M47" s="1599"/>
      <c r="N47" s="1603"/>
      <c r="O47" s="1166"/>
    </row>
    <row r="48" spans="1:15" s="597" customFormat="1" ht="15" x14ac:dyDescent="0.25">
      <c r="A48" s="1604">
        <v>9</v>
      </c>
      <c r="B48" s="1607"/>
      <c r="C48" s="1167"/>
      <c r="D48" s="1599"/>
      <c r="E48" s="2367"/>
      <c r="F48" s="2367"/>
      <c r="G48" s="1167"/>
      <c r="H48" s="1599"/>
      <c r="I48" s="1600"/>
      <c r="J48" s="1609" t="str">
        <f>IF(I48="","",IF(D48="","",IF(I48/VLOOKUP(D48,'MATERIALIDAD PRESUPUESTAL'!$A$34:$B$50,2,)*100&gt;0,I48/VLOOKUP(D48,'MATERIALIDAD PRESUPUESTAL'!$A$34:$B$50,2,),"")))</f>
        <v/>
      </c>
      <c r="K48" s="1601"/>
      <c r="L48" s="1602"/>
      <c r="M48" s="1599"/>
      <c r="N48" s="1603"/>
      <c r="O48" s="1166"/>
    </row>
    <row r="49" spans="1:15" s="597" customFormat="1" ht="15" x14ac:dyDescent="0.25">
      <c r="A49" s="1604">
        <v>10</v>
      </c>
      <c r="B49" s="1607"/>
      <c r="C49" s="1167"/>
      <c r="D49" s="1599"/>
      <c r="E49" s="2367"/>
      <c r="F49" s="2367"/>
      <c r="G49" s="1167"/>
      <c r="H49" s="1599"/>
      <c r="I49" s="1600"/>
      <c r="J49" s="1609" t="str">
        <f>IF(I49="","",IF(D49="","",IF(I49/VLOOKUP(D49,'MATERIALIDAD PRESUPUESTAL'!$A$34:$B$50,2,)*100&gt;0,I49/VLOOKUP(D49,'MATERIALIDAD PRESUPUESTAL'!$A$34:$B$50,2,),"")))</f>
        <v/>
      </c>
      <c r="K49" s="1601"/>
      <c r="L49" s="1602"/>
      <c r="M49" s="1599"/>
      <c r="N49" s="1603"/>
      <c r="O49" s="1166"/>
    </row>
    <row r="50" spans="1:15" s="597" customFormat="1" ht="15" x14ac:dyDescent="0.25">
      <c r="A50" s="1604">
        <v>11</v>
      </c>
      <c r="B50" s="1607"/>
      <c r="C50" s="1167"/>
      <c r="D50" s="1599"/>
      <c r="E50" s="2367"/>
      <c r="F50" s="2367"/>
      <c r="G50" s="1167"/>
      <c r="H50" s="1599"/>
      <c r="I50" s="1600"/>
      <c r="J50" s="1609" t="str">
        <f>IF(I50="","",IF(D50="","",IF(I50/VLOOKUP(D50,'MATERIALIDAD PRESUPUESTAL'!$A$34:$B$50,2,)*100&gt;0,I50/VLOOKUP(D50,'MATERIALIDAD PRESUPUESTAL'!$A$34:$B$50,2,),"")))</f>
        <v/>
      </c>
      <c r="K50" s="1601"/>
      <c r="L50" s="1602"/>
      <c r="M50" s="1599"/>
      <c r="N50" s="1603"/>
      <c r="O50" s="1166"/>
    </row>
    <row r="51" spans="1:15" s="597" customFormat="1" ht="15" x14ac:dyDescent="0.25">
      <c r="A51" s="1604">
        <v>12</v>
      </c>
      <c r="B51" s="1607"/>
      <c r="C51" s="1167"/>
      <c r="D51" s="1599"/>
      <c r="E51" s="2367"/>
      <c r="F51" s="2367"/>
      <c r="G51" s="1167"/>
      <c r="H51" s="1599"/>
      <c r="I51" s="1600"/>
      <c r="J51" s="1609" t="str">
        <f>IF(I51="","",IF(D51="","",IF(I51/VLOOKUP(D51,'MATERIALIDAD PRESUPUESTAL'!$A$34:$B$50,2,)*100&gt;0,I51/VLOOKUP(D51,'MATERIALIDAD PRESUPUESTAL'!$A$34:$B$50,2,),"")))</f>
        <v/>
      </c>
      <c r="K51" s="1601"/>
      <c r="L51" s="1602"/>
      <c r="M51" s="1599"/>
      <c r="N51" s="1603"/>
      <c r="O51" s="1166"/>
    </row>
    <row r="52" spans="1:15" s="597" customFormat="1" ht="15" x14ac:dyDescent="0.25">
      <c r="A52" s="1604">
        <v>13</v>
      </c>
      <c r="B52" s="1607"/>
      <c r="C52" s="1167"/>
      <c r="D52" s="1599"/>
      <c r="E52" s="2367"/>
      <c r="F52" s="2367"/>
      <c r="G52" s="1167"/>
      <c r="H52" s="1599"/>
      <c r="I52" s="1600"/>
      <c r="J52" s="1609" t="str">
        <f>IF(I52="","",IF(D52="","",IF(I52/VLOOKUP(D52,'MATERIALIDAD PRESUPUESTAL'!$A$34:$B$50,2,)*100&gt;0,I52/VLOOKUP(D52,'MATERIALIDAD PRESUPUESTAL'!$A$34:$B$50,2,),"")))</f>
        <v/>
      </c>
      <c r="K52" s="1601"/>
      <c r="L52" s="1602"/>
      <c r="M52" s="1599"/>
      <c r="N52" s="1603"/>
      <c r="O52" s="1166"/>
    </row>
    <row r="53" spans="1:15" s="597" customFormat="1" ht="15" x14ac:dyDescent="0.25">
      <c r="A53" s="1604">
        <v>14</v>
      </c>
      <c r="B53" s="1607"/>
      <c r="C53" s="1167"/>
      <c r="D53" s="1599"/>
      <c r="E53" s="2367"/>
      <c r="F53" s="2367"/>
      <c r="G53" s="1167"/>
      <c r="H53" s="1599"/>
      <c r="I53" s="1600"/>
      <c r="J53" s="1609" t="str">
        <f>IF(I53="","",IF(D53="","",IF(I53/VLOOKUP(D53,'MATERIALIDAD PRESUPUESTAL'!$A$34:$B$50,2,)*100&gt;0,I53/VLOOKUP(D53,'MATERIALIDAD PRESUPUESTAL'!$A$34:$B$50,2,),"")))</f>
        <v/>
      </c>
      <c r="K53" s="1601"/>
      <c r="L53" s="1602"/>
      <c r="M53" s="1599"/>
      <c r="N53" s="1603"/>
      <c r="O53" s="1166"/>
    </row>
    <row r="54" spans="1:15" s="597" customFormat="1" ht="15" x14ac:dyDescent="0.25">
      <c r="A54" s="1604">
        <v>15</v>
      </c>
      <c r="B54" s="1607"/>
      <c r="C54" s="1167"/>
      <c r="D54" s="1599"/>
      <c r="E54" s="2367"/>
      <c r="F54" s="2367"/>
      <c r="G54" s="1167"/>
      <c r="H54" s="1599"/>
      <c r="I54" s="1600"/>
      <c r="J54" s="1609" t="str">
        <f>IF(I54="","",IF(D54="","",IF(I54/VLOOKUP(D54,'MATERIALIDAD PRESUPUESTAL'!$A$34:$B$50,2,)*100&gt;0,I54/VLOOKUP(D54,'MATERIALIDAD PRESUPUESTAL'!$A$34:$B$50,2,),"")))</f>
        <v/>
      </c>
      <c r="K54" s="1601"/>
      <c r="L54" s="1602"/>
      <c r="M54" s="1599"/>
      <c r="N54" s="1603"/>
      <c r="O54" s="1166"/>
    </row>
    <row r="55" spans="1:15" s="597" customFormat="1" ht="15" x14ac:dyDescent="0.25">
      <c r="A55" s="1585" t="s">
        <v>1237</v>
      </c>
      <c r="B55" s="1607"/>
      <c r="C55" s="1167"/>
      <c r="D55" s="1599"/>
      <c r="E55" s="2367"/>
      <c r="F55" s="2367"/>
      <c r="G55" s="1167"/>
      <c r="H55" s="1599"/>
      <c r="I55" s="1600"/>
      <c r="J55" s="1609" t="str">
        <f>IF(I55="","",IF(D55="","",IF(I55/VLOOKUP(D55,'MATERIALIDAD PRESUPUESTAL'!$A$34:$B$50,2,)*100&gt;0,I55/VLOOKUP(D55,'MATERIALIDAD PRESUPUESTAL'!$A$34:$B$50,2,),"")))</f>
        <v/>
      </c>
      <c r="K55" s="1601"/>
      <c r="L55" s="1602"/>
      <c r="M55" s="1599"/>
      <c r="N55" s="1603"/>
      <c r="O55" s="1166"/>
    </row>
    <row r="56" spans="1:15" ht="27" customHeight="1" x14ac:dyDescent="0.25">
      <c r="A56" s="2419" t="s">
        <v>1238</v>
      </c>
      <c r="B56" s="2419"/>
      <c r="C56" s="2419"/>
      <c r="D56" s="2419"/>
      <c r="E56" s="2419"/>
      <c r="F56" s="2419"/>
      <c r="G56" s="2419"/>
      <c r="H56" s="2419"/>
      <c r="I56" s="1608">
        <f>SUM(I40:I55)</f>
        <v>17</v>
      </c>
      <c r="J56" s="732"/>
      <c r="K56" s="733"/>
      <c r="L56" s="734"/>
      <c r="M56" s="692"/>
      <c r="N56" s="732"/>
      <c r="O56" s="732"/>
    </row>
    <row r="57" spans="1:15" ht="27" customHeight="1" x14ac:dyDescent="0.25">
      <c r="A57" s="691" t="s">
        <v>1239</v>
      </c>
      <c r="L57" s="692"/>
      <c r="M57" s="692"/>
      <c r="N57" s="692"/>
      <c r="O57" s="692"/>
    </row>
    <row r="58" spans="1:15" ht="14.45" customHeight="1" x14ac:dyDescent="0.25">
      <c r="L58" s="688"/>
    </row>
    <row r="59" spans="1:15" ht="61.9" customHeight="1" x14ac:dyDescent="0.25">
      <c r="A59" s="2195" t="s">
        <v>1562</v>
      </c>
      <c r="B59" s="2195"/>
      <c r="C59" s="2195"/>
      <c r="D59" s="2195"/>
      <c r="E59" s="2195"/>
      <c r="F59" s="2195"/>
      <c r="G59" s="2195"/>
      <c r="H59" s="2195"/>
      <c r="I59" s="2195"/>
    </row>
    <row r="60" spans="1:15" ht="27.75" customHeight="1" x14ac:dyDescent="0.25">
      <c r="A60" s="2195"/>
      <c r="B60" s="2195"/>
      <c r="C60" s="2195"/>
      <c r="D60" s="2195"/>
      <c r="E60" s="2195"/>
      <c r="F60" s="2195"/>
      <c r="G60" s="2195"/>
      <c r="H60" s="2195"/>
      <c r="I60" s="2195"/>
    </row>
    <row r="61" spans="1:15" ht="34.5" customHeight="1" x14ac:dyDescent="0.25">
      <c r="A61" s="2195"/>
      <c r="B61" s="2195"/>
      <c r="C61" s="2195"/>
      <c r="D61" s="2195"/>
      <c r="E61" s="2195"/>
      <c r="F61" s="2195"/>
      <c r="G61" s="2195"/>
      <c r="H61" s="2195"/>
      <c r="I61" s="2195"/>
    </row>
    <row r="62" spans="1:15" x14ac:dyDescent="0.25">
      <c r="A62" s="2195"/>
      <c r="B62" s="2195"/>
      <c r="C62" s="2195"/>
      <c r="D62" s="2195"/>
      <c r="E62" s="2195"/>
      <c r="F62" s="2195"/>
      <c r="G62" s="2195"/>
      <c r="H62" s="2195"/>
      <c r="I62" s="2195"/>
    </row>
    <row r="63" spans="1:15" x14ac:dyDescent="0.25">
      <c r="A63" s="2195"/>
      <c r="B63" s="2195"/>
      <c r="C63" s="2195"/>
      <c r="D63" s="2195"/>
      <c r="E63" s="2195"/>
      <c r="F63" s="2195"/>
      <c r="G63" s="2195"/>
      <c r="H63" s="2195"/>
      <c r="I63" s="2195"/>
    </row>
    <row r="64" spans="1:15" ht="43.5" customHeight="1" x14ac:dyDescent="0.25">
      <c r="A64" s="2195"/>
      <c r="B64" s="2195"/>
      <c r="C64" s="2195"/>
      <c r="D64" s="2195"/>
      <c r="E64" s="2195"/>
      <c r="F64" s="2195"/>
      <c r="G64" s="2195"/>
      <c r="H64" s="2195"/>
      <c r="I64" s="2195"/>
    </row>
    <row r="65" spans="1:15" ht="36" customHeight="1" x14ac:dyDescent="0.25">
      <c r="A65" s="2195"/>
      <c r="B65" s="2195"/>
      <c r="C65" s="2195"/>
      <c r="D65" s="2195"/>
      <c r="E65" s="2195"/>
      <c r="F65" s="2195"/>
      <c r="G65" s="2195"/>
      <c r="H65" s="2195"/>
      <c r="I65" s="2195"/>
    </row>
    <row r="66" spans="1:15" ht="22.15" customHeight="1" x14ac:dyDescent="0.25">
      <c r="A66" s="2195"/>
      <c r="B66" s="2195"/>
      <c r="C66" s="2195"/>
      <c r="D66" s="2195"/>
      <c r="E66" s="2195"/>
      <c r="F66" s="2195"/>
      <c r="G66" s="2195"/>
      <c r="H66" s="2195"/>
      <c r="I66" s="2195"/>
    </row>
    <row r="67" spans="1:15" ht="12" hidden="1" customHeight="1" x14ac:dyDescent="0.25">
      <c r="A67" s="2195"/>
      <c r="B67" s="2195"/>
      <c r="C67" s="2195"/>
      <c r="D67" s="2195"/>
      <c r="E67" s="2195"/>
      <c r="F67" s="2195"/>
      <c r="G67" s="2195"/>
      <c r="H67" s="2195"/>
      <c r="I67" s="2195"/>
    </row>
    <row r="68" spans="1:15" ht="22.9" customHeight="1" x14ac:dyDescent="0.25">
      <c r="B68" s="2370"/>
      <c r="C68" s="2370"/>
      <c r="D68" s="2370"/>
      <c r="E68" s="2370"/>
    </row>
    <row r="70" spans="1:15" ht="59.45" customHeight="1" x14ac:dyDescent="0.25">
      <c r="B70" s="2366" t="s">
        <v>1760</v>
      </c>
      <c r="C70" s="2366"/>
      <c r="D70" s="2366"/>
      <c r="E70" s="2366"/>
      <c r="J70" s="2364" t="s">
        <v>1240</v>
      </c>
      <c r="K70" s="2364"/>
      <c r="L70" s="2364" t="s">
        <v>1241</v>
      </c>
      <c r="M70" s="2364"/>
    </row>
    <row r="71" spans="1:15" s="597" customFormat="1" ht="42" customHeight="1" x14ac:dyDescent="0.25">
      <c r="B71" s="2365" t="s">
        <v>1727</v>
      </c>
      <c r="C71" s="2365"/>
      <c r="D71" s="2365"/>
      <c r="E71" s="2365"/>
      <c r="F71" s="2365"/>
      <c r="G71" s="2365"/>
      <c r="J71" s="2071" t="s">
        <v>1242</v>
      </c>
      <c r="K71" s="2071"/>
      <c r="L71" s="2071" t="s">
        <v>1243</v>
      </c>
      <c r="M71" s="2071"/>
    </row>
    <row r="72" spans="1:15" s="597" customFormat="1" ht="84.75" customHeight="1" x14ac:dyDescent="0.25">
      <c r="B72" s="1624" t="s">
        <v>1244</v>
      </c>
      <c r="C72" s="1625" t="s">
        <v>176</v>
      </c>
      <c r="D72" s="1625" t="s">
        <v>178</v>
      </c>
      <c r="E72" s="1626" t="s">
        <v>1245</v>
      </c>
      <c r="F72" s="1627" t="s">
        <v>1246</v>
      </c>
      <c r="G72" s="1628" t="s">
        <v>210</v>
      </c>
      <c r="H72" s="1246" t="str">
        <f>I39</f>
        <v>Valor de la Incorrección o Imposibilidad
( Valores en pesos)</v>
      </c>
      <c r="I72" s="1246" t="str">
        <f>J39</f>
        <v>Porcentaje (% ) de hallazgo o salvedad respecto a la cuenta presupuestal</v>
      </c>
      <c r="J72" s="1247" t="s">
        <v>1247</v>
      </c>
      <c r="K72" s="1247" t="s">
        <v>1248</v>
      </c>
      <c r="L72" s="1247" t="s">
        <v>1249</v>
      </c>
      <c r="M72" s="1247" t="s">
        <v>1250</v>
      </c>
      <c r="N72" s="1247" t="s">
        <v>1251</v>
      </c>
      <c r="O72" s="1247" t="s">
        <v>1252</v>
      </c>
    </row>
    <row r="73" spans="1:15" s="597" customFormat="1" ht="43.5" customHeight="1" x14ac:dyDescent="0.25">
      <c r="B73" s="1248" t="str">
        <f>IF('MATERIALIDAD PRESUPUESTAL'!$B$36="","INGRESOS (No Aplican, no existen o no auditados)","INGRESOS")</f>
        <v>INGRESOS</v>
      </c>
      <c r="C73" s="1249" t="str">
        <f>IF(B73="INGRESOS (No Aplican, no existen o no auditados)","","EFICACIA")</f>
        <v>EFICACIA</v>
      </c>
      <c r="D73" s="1250">
        <f>IF('MATERIALIDAD PRESUPUESTAL'!$B$36="","",AVERAGE(K23,K33))</f>
        <v>0.75610238300854382</v>
      </c>
      <c r="E73" s="1267" t="s">
        <v>1222</v>
      </c>
      <c r="F73" s="1251">
        <f>IF(OR(B73="",D73=""),"",IF(E73='LISTAS PPTO'!$V$6,D73-'LISTAS PPTO'!$X$6,IF(E73='LISTAS PPTO'!$V$7,D73-'LISTAS PPTO'!$X$7,IF(E73='LISTAS PPTO'!$V$8,D73-'LISTAS PPTO'!$X$8,IF(E73='LISTAS PPTO'!$V$9,D73-'LISTAS PPTO'!$X$9,IF(E73='LISTAS PPTO'!$V$10,D73-'LISTAS PPTO'!$X$10,IF(E73='LISTAS PPTO'!$V$11,D73-'LISTAS PPTO'!$X$11,IF(E73='LISTAS PPTO'!$V$5,D73-'LISTAS PPTO'!$X$5,IF(E73='LISTAS PPTO'!$V$4,D73-'LISTAS PPTO'!$X$4,D73)))))))))</f>
        <v>0.65610238300854384</v>
      </c>
      <c r="G73" s="1252" t="str">
        <f t="shared" ref="G73:G80" si="1">IF(D73="","",IF(F73&gt;=0.75,"EFICAZ","INEFICAZ"))</f>
        <v>INEFICAZ</v>
      </c>
      <c r="H73" s="1562">
        <f>IF(OR(B73="",D73=""),"",SUMIF($D$40:$D$55,"*INGRESOS*",$I$40:$I$55))</f>
        <v>10</v>
      </c>
      <c r="I73" s="1561">
        <f>IF(OR(H73&lt;=0,H73=""),"",SUMIF($D$40:$D$55,"*INGRESOS*",$J$40:$J$55))</f>
        <v>0.01</v>
      </c>
      <c r="J73" s="1560">
        <f>IF('MATERIALIDAD PRESUPUESTAL'!$H$78="",IF(OR(I73&lt;=0,I73=""),"",SUMIF($C$40:$C$55,"*Incorrección*Ingresos*",$I$40:$I$55)/'MATERIALIDAD PRESUPUESTAL'!$B$36),IF(OR(I73&lt;=0,I73=""),"",SUMIF($C$40:$C$55,"*Incorrección*Ingresos*",$I$40:$I$55)/'MATERIALIDAD PRESUPUESTAL'!$F$78))</f>
        <v>1</v>
      </c>
      <c r="K73" s="1563">
        <f>IF('MATERIALIDAD PRESUPUESTAL'!$H$78="",IF(OR(J73&lt;=0,J73=""),"",SUMIF($C$40:$C$55,"*Incorrección*Ingresos*",$I$40:$I$55)/'MATERIALIDAD PRESUPUESTAL'!$B$36),IF(OR(J73&lt;=0,J73=""),"",SUMIF($C$40:$C$55,"*Incorrección*Ingresos*",$I$40:$I$55)/'MATERIALIDAD PRESUPUESTAL'!$F$78))</f>
        <v>1</v>
      </c>
      <c r="L73" s="1560">
        <f>IF('MATERIALIDAD PRESUPUESTAL'!$H$78="",IF(OR(I73&lt;=0,I73=""),"",SUMIF($C$40:$C$55,"*Imposibilidades*Ingresos*",$I$40:$I$55)/'MATERIALIDAD PRESUPUESTAL'!$B$36),IF(OR(I73&lt;=0,I73=""),"",SUMIF($C$40:$C$55,"*Imposibilidades*Ingresos*",$I$40:$I$55)/'MATERIALIDAD PRESUPUESTAL'!$F$78))</f>
        <v>0</v>
      </c>
      <c r="M73" s="1563">
        <f>IF('MATERIALIDAD PRESUPUESTAL'!$H$78="",IF(OR(I73&lt;=0,I73=""),"",SUMIF($C$40:$C$55,"*Imposibilidades*Ingresos*",$J$40:$J$55)/'MATERIALIDAD PRESUPUESTAL'!$B$35),IF(OR(I73&lt;=0,I73=""),"",SUMIF($C$40:$C$55,"*Imposibilidades*Ingresos*",$J$40:$J$55)/'MATERIALIDAD PRESUPUESTAL'!$G$78))</f>
        <v>0</v>
      </c>
      <c r="N73" s="1564">
        <f>IF('MATERIALIDAD PRESUPUESTAL'!$H$78="",IF(OR(I73&lt;=0,I73=""),"",H73/'MATERIALIDAD PRESUPUESTAL'!$B$36),IF(OR(I73&lt;=0,I73=""),"",H73/'MATERIALIDAD PRESUPUESTAL'!$F$78))</f>
        <v>1</v>
      </c>
      <c r="O73" s="1565">
        <f>IF('MATERIALIDAD PRESUPUESTAL'!$H$78="",IF(OR(I73&lt;=0,I73=""),"",I73/'MATERIALIDAD PRESUPUESTAL'!$B$35),IF(OR(I73&lt;=0,I73=""),"",I73/'MATERIALIDAD PRESUPUESTAL'!$G$78))</f>
        <v>1</v>
      </c>
    </row>
    <row r="74" spans="1:15" s="597" customFormat="1" ht="40.5" customHeight="1" x14ac:dyDescent="0.25">
      <c r="B74" s="1248" t="str">
        <f>IF('MATERIALIDAD PRESUPUESTAL'!$B$41="","GASTOS (No Aplican, no existen o no auditados)","GASTOS")</f>
        <v>GASTOS</v>
      </c>
      <c r="C74" s="1249" t="str">
        <f>IF(B74="GASTOS (No Aplican, no existen o no auditados)","","EFICACIA")</f>
        <v>EFICACIA</v>
      </c>
      <c r="D74" s="1250">
        <f>IF('MATERIALIDAD PRESUPUESTAL'!$B$41="","",AVERAGE(K24:K25))</f>
        <v>0.8895380877011041</v>
      </c>
      <c r="E74" s="1267" t="s">
        <v>893</v>
      </c>
      <c r="F74" s="1251">
        <f>IF(OR(B74="",D74=""),"",IF(E74='LISTAS PPTO'!$V$6,D74-'LISTAS PPTO'!$X$6,IF(E74='LISTAS PPTO'!$V$7,D74-'LISTAS PPTO'!$X$7,IF(E74='LISTAS PPTO'!$V$8,D74-'LISTAS PPTO'!$X$8,IF(E74='LISTAS PPTO'!$V$9,D74-'LISTAS PPTO'!$X$9,IF(E74='LISTAS PPTO'!$V$10,D74-'LISTAS PPTO'!$X$10,IF(E74='LISTAS PPTO'!$V$11,D74-'LISTAS PPTO'!$X$11,IF(E74='LISTAS PPTO'!$V$5,D74-'LISTAS PPTO'!$X$5,IF(E74='LISTAS PPTO'!$V$4,D74-'LISTAS PPTO'!$X$4,D74)))))))))</f>
        <v>0.83953808770110405</v>
      </c>
      <c r="G74" s="1252" t="str">
        <f t="shared" si="1"/>
        <v>EFICAZ</v>
      </c>
      <c r="H74" s="1562">
        <f>IF(OR(B74="",D74=""),"",SUMIF($D$40:$D$55,"*GASTOS*",$I$40:$I$55))</f>
        <v>5</v>
      </c>
      <c r="I74" s="1561">
        <f>IF(OR(H74&lt;=0,H74=""),"",SUMIF($D$40:$D$55,"*GASTOS*",$J$40:$J$55))</f>
        <v>5.0000000000000001E-3</v>
      </c>
      <c r="J74" s="1560">
        <f>IF('MATERIALIDAD PRESUPUESTAL'!$H$79="",IF(OR(I74&lt;=0,I74=""),"",SUMIF($C$40:$C$55,"*Incorrección*Gastos*",$I$40:$I$55)/'MATERIALIDAD PRESUPUESTAL'!$B$41),IF(OR(I74&lt;=0,I74=""),"",SUMIF($C$40:$C$55,"*Incorrección*Gastos*",$I$40:$I$55)/'MATERIALIDAD PRESUPUESTAL'!$F$79))</f>
        <v>0</v>
      </c>
      <c r="K74" s="1563" t="str">
        <f>IF('MATERIALIDAD PRESUPUESTAL'!$H$79="",IF(OR(J74&lt;=0,J74=""),"",SUMIF($C$40:$C$55,"*Incorrección*Gastos*",$I$40:$I$55)/'MATERIALIDAD PRESUPUESTAL'!$B$41),IF(OR(J74&lt;=0,J74=""),"",SUMIF($C$40:$C$55,"*Incorrección*Gastos*",$I$40:$I$55)/'MATERIALIDAD PRESUPUESTAL'!$F$79))</f>
        <v/>
      </c>
      <c r="L74" s="1560">
        <f>IF('MATERIALIDAD PRESUPUESTAL'!$H$79="",IF(OR(I74&lt;=0,I74=""),"",SUMIF($C$40:$C$55,"*Imposibilidades*Gastos*",$I$40:$I$55)/'MATERIALIDAD PRESUPUESTAL'!$B$41),IF(OR(I74&lt;=0,I74=""),"",SUMIF($C$40:$C$55,"*Imposibilidades*Gastos*",$I$40:$I$55)/'MATERIALIDAD PRESUPUESTAL'!$F$79))</f>
        <v>0.5</v>
      </c>
      <c r="M74" s="1563">
        <f>IF('MATERIALIDAD PRESUPUESTAL'!$H$79="",IF(OR(I74&lt;=0,I74=""),"",SUMIF($C$40:$C$55,"*Imposibilidades*Gastos*",$J$40:$J$55)/'MATERIALIDAD PRESUPUESTAL'!$B$40),IF(OR(I74&lt;=0,I74=""),"",SUMIF($C$40:$C$55,"*Imposibilidades*Gastos*",$J$40:$J$55)/'MATERIALIDAD PRESUPUESTAL'!$G$79))</f>
        <v>0.5</v>
      </c>
      <c r="N74" s="1564">
        <f>IF('MATERIALIDAD PRESUPUESTAL'!$H$79="",IF(OR(I74&lt;=0,I74=""),"",H74/'MATERIALIDAD PRESUPUESTAL'!$B$41),IF(OR(I74&lt;=0,I74=""),"",H74/'MATERIALIDAD PRESUPUESTAL'!$F$79))</f>
        <v>0.5</v>
      </c>
      <c r="O74" s="1565">
        <f>IF('MATERIALIDAD PRESUPUESTAL'!$H$79="",IF(OR(I74&lt;=0,I74=""),"",I74/'MATERIALIDAD PRESUPUESTAL'!$B$40),IF(OR(I74&lt;=0,I74=""),"",I74/'MATERIALIDAD PRESUPUESTAL'!$G$79))</f>
        <v>0.5</v>
      </c>
    </row>
    <row r="75" spans="1:15" s="597" customFormat="1" ht="51" customHeight="1" x14ac:dyDescent="0.25">
      <c r="B75" s="1248" t="str">
        <f>IF('MATERIALIDAD PRESUPUESTAL'!$B$45="","GASTOS DE COMERCIALIZACIÓN Y PRODUCCIÓN (No Aplican, no existen o no auditados)","GASTOS DE COMERCIALIZACIÓN Y PRODUCCIÓN")</f>
        <v>GASTOS DE COMERCIALIZACIÓN Y PRODUCCIÓN</v>
      </c>
      <c r="C75" s="1249" t="str">
        <f>IF(B75="GASTOS DE COMERCIALIZACIÓN Y PRODUCCIÓN (No Aplican, no existen o no auditados)","","EFICACIA")</f>
        <v>EFICACIA</v>
      </c>
      <c r="D75" s="1250">
        <f>IF('MATERIALIDAD PRESUPUESTAL'!$B$45="","",AVERAGE(K24:K25))</f>
        <v>0.8895380877011041</v>
      </c>
      <c r="E75" s="1267"/>
      <c r="F75" s="1251">
        <f>IF(OR(B75="",D75=""),"",IF(E75='LISTAS PPTO'!$V$6,D75-'LISTAS PPTO'!$X$6,IF(E75='LISTAS PPTO'!$V$7,D75-'LISTAS PPTO'!$X$7,IF(E75='LISTAS PPTO'!$V$8,D75-'LISTAS PPTO'!$X$8,IF(E75='LISTAS PPTO'!$V$9,D75-'LISTAS PPTO'!$X$9,IF(E75='LISTAS PPTO'!$V$10,D75-'LISTAS PPTO'!$X$10,IF(E75='LISTAS PPTO'!$V$11,D75-'LISTAS PPTO'!$X$11,IF(E75='LISTAS PPTO'!$V$5,D75-'LISTAS PPTO'!$X$5,IF(E75='LISTAS PPTO'!$V$4,D75-'LISTAS PPTO'!$X$4,D75)))))))))</f>
        <v>0.8895380877011041</v>
      </c>
      <c r="G75" s="1252" t="str">
        <f t="shared" si="1"/>
        <v>EFICAZ</v>
      </c>
      <c r="H75" s="1562">
        <f>IF(OR(B75="",D75=""),"",SUMIF($D$40:$D$55,"*GASTOS DE COMERCIALIZACIÓN Y PRODUCCIÓN*",$I$40:$I$55))</f>
        <v>0</v>
      </c>
      <c r="I75" s="1561" t="str">
        <f>IF(OR(H75&lt;=0,H75=""),"",SUMIF($D$40:$D$55,"*GASTOS DE COMERCIALIZACIÓN Y PRODUCCIÓN*",$J$40:$J$55))</f>
        <v/>
      </c>
      <c r="J75" s="1560" t="str">
        <f>IF('MATERIALIDAD PRESUPUESTAL'!$H$82="",IF(OR(I75&lt;=0,I75=""),"",SUMIF($C$40:$C$55,"*Incorrección*Comercialización*",$I$40:$I$55)/'MATERIALIDAD PRESUPUESTAL'!$C$45),IF(OR(I75&lt;=0,I75=""),"",SUMIF($C$40:$C$55,"*Incorrección*Comercialización*",$I$40:$I$55)/'MATERIALIDAD PRESUPUESTAL'!$F$82))</f>
        <v/>
      </c>
      <c r="K75" s="1563" t="str">
        <f>IF('MATERIALIDAD PRESUPUESTAL'!$H$82="",IF(OR(J75&lt;=0,J75=""),"",SUMIF($C$40:$C$55,"*Incorrección*Comercialización*",$I$40:$I$55)/'MATERIALIDAD PRESUPUESTAL'!$C$45),IF(OR(J75&lt;=0,J75=""),"",SUMIF($C$40:$C$55,"*Incorrección*Comercialización*",$I$40:$I$55)/'MATERIALIDAD PRESUPUESTAL'!$F$82))</f>
        <v/>
      </c>
      <c r="L75" s="1560" t="str">
        <f>IF('MATERIALIDAD PRESUPUESTAL'!$H$82="",IF(OR(I75&lt;=0,I75=""),"",SUMIF($C$40:$C$55,"*Imposibilidades*Comercialización*",$I$40:$I$55)/'MATERIALIDAD PRESUPUESTAL'!$C$45),IF(OR(I75&lt;=0,I75=""),"",SUMIF($C$40:$C$55,"*Imposibilidades*Comercialización*",$I$40:$I$55)/'MATERIALIDAD PRESUPUESTAL'!$F$82))</f>
        <v/>
      </c>
      <c r="M75" s="1563" t="str">
        <f>IF('MATERIALIDAD PRESUPUESTAL'!$H$82="",IF(OR(I75&lt;=0,I75=""),"",SUMIF($C$40:$C$55,"*Imposibilidades*Comercialización*",$J$40:$J$55)/'MATERIALIDAD PRESUPUESTAL'!$B$40),IF(OR(I75&lt;=0,I75=""),"",SUMIF($C$40:$C$55,"*Imposibilidades*Comercialización*",$J$40:$J$55)/'MATERIALIDAD PRESUPUESTAL'!$G$82))</f>
        <v/>
      </c>
      <c r="N75" s="1564" t="str">
        <f>IF('MATERIALIDAD PRESUPUESTAL'!$H$82="",IF(OR(I75&lt;=0,I75=""),"",H75/'MATERIALIDAD PRESUPUESTAL'!$C$45),IF(OR(I75&lt;=0,I75=""),"",H75/'MATERIALIDAD PRESUPUESTAL'!$F$82))</f>
        <v/>
      </c>
      <c r="O75" s="1565" t="str">
        <f>IF('MATERIALIDAD PRESUPUESTAL'!$H$82="",IF(OR(I75&lt;=0,I75=""),"",I75/'MATERIALIDAD PRESUPUESTAL'!$B$40),IF(OR(I75&lt;=0,I75=""),"",I75/'MATERIALIDAD PRESUPUESTAL'!$G$82))</f>
        <v/>
      </c>
    </row>
    <row r="76" spans="1:15" s="597" customFormat="1" ht="61.5" customHeight="1" x14ac:dyDescent="0.25">
      <c r="B76" s="1248" t="str">
        <f>IF('MATERIALIDAD PRESUPUESTAL'!$B$46="","RESERVAS PRESUPUESTALES CONSTITUIDAS (No Aplican, no existen o no auditados)","RESERVAS PRESUPUESTALES CONSTITUIDAS")</f>
        <v>RESERVAS PRESUPUESTALES CONSTITUIDAS</v>
      </c>
      <c r="C76" s="1249" t="str">
        <f>IF(B76="RESERVAS PRESUPUESTALES CONSTITUIDAS (No Aplican, no existen o no auditados)","","EFICACIA")</f>
        <v>EFICACIA</v>
      </c>
      <c r="D76" s="1250">
        <f>IF('MATERIALIDAD PRESUPUESTAL'!$B$46="","",AVERAGE(K26,K29,K30))</f>
        <v>0.82587963006754173</v>
      </c>
      <c r="E76" s="1267"/>
      <c r="F76" s="1251">
        <f>IF(OR(B76="",D76=""),"",IF(E76='LISTAS PPTO'!$V$6,D76-'LISTAS PPTO'!$X$6,IF(E76='LISTAS PPTO'!$V$7,D76-'LISTAS PPTO'!$X$7,IF(E76='LISTAS PPTO'!$V$8,D76-'LISTAS PPTO'!$X$8,IF(E76='LISTAS PPTO'!$V$9,D76-'LISTAS PPTO'!$X$9,IF(E76='LISTAS PPTO'!$V$10,D76-'LISTAS PPTO'!$X$10,IF(E76='LISTAS PPTO'!$V$11,D76-'LISTAS PPTO'!$X$11,IF(E76='LISTAS PPTO'!$V$5,D76-'LISTAS PPTO'!$X$5,IF(E76='LISTAS PPTO'!$V$4,D76-'LISTAS PPTO'!$X$4,D76)))))))))</f>
        <v>0.82587963006754173</v>
      </c>
      <c r="G76" s="1252" t="str">
        <f t="shared" si="1"/>
        <v>EFICAZ</v>
      </c>
      <c r="H76" s="1562">
        <f>IF(OR(B76="",D76=""),"",SUMIF($D$40:$D$55,"*RESERVAS*",$I$40:$I$55))</f>
        <v>0</v>
      </c>
      <c r="I76" s="1561" t="str">
        <f>IF(OR(H76&lt;=0,H76=""),"",SUMIF($D$40:$D$55,"*RESERVAS*",$J$40:$J$55))</f>
        <v/>
      </c>
      <c r="J76" s="1560" t="str">
        <f>IF('MATERIALIDAD PRESUPUESTAL'!$H$83="",IF(OR(I76&lt;=0,I76=""),"",SUMIF($C$40:$C$55,"*Incorrección*Reservas*",$I$40:$I$55)/'MATERIALIDAD PRESUPUESTAL'!$C$46),IF(OR(I76&lt;=0,I76=""),"",SUMIF($C$40:$C$55,"*Incorrección*Reservas*",$I$40:$I$55)/'MATERIALIDAD PRESUPUESTAL'!$F$83))</f>
        <v/>
      </c>
      <c r="K76" s="1563" t="str">
        <f>IF('MATERIALIDAD PRESUPUESTAL'!$H$83="",IF(OR(J76&lt;=0,J76=""),"",SUMIF($C$40:$C$55,"*Incorrección*Reservas*",$I$40:$I$55)/'MATERIALIDAD PRESUPUESTAL'!$C$46),IF(OR(J76&lt;=0,J76=""),"",SUMIF($C$40:$C$55,"*Incorrección*Reservas*",$I$40:$I$55)/'MATERIALIDAD PRESUPUESTAL'!$F$83))</f>
        <v/>
      </c>
      <c r="L76" s="1560" t="str">
        <f>IF('MATERIALIDAD PRESUPUESTAL'!$H$83="",IF(OR(I76&lt;=0,I76=""),"",SUMIF($C$40:$C$55,"*Imposibilidades*Reservas*",$I$40:$I$55)/'MATERIALIDAD PRESUPUESTAL'!$C$46),IF(OR(I76&lt;=0,I76=""),"",SUMIF($C$40:$C$55,"*Imposibilidades*Reservas*",$I$40:$I$55)/'MATERIALIDAD PRESUPUESTAL'!$F$83))</f>
        <v/>
      </c>
      <c r="M76" s="1563" t="str">
        <f>IF('MATERIALIDAD PRESUPUESTAL'!$H$83="",IF(OR(I76&lt;=0,I76=""),"",SUMIF($C$40:$C$55,"*Imposibilidades*Reservas*",$J$40:$J$55)/'MATERIALIDAD PRESUPUESTAL'!$B$40),IF(OR(I76&lt;=0,I76=""),"",SUMIF($C$40:$C$55,"*Imposibilidades*Reservas*",$J$40:$J$55)/'MATERIALIDAD PRESUPUESTAL'!$G$83))</f>
        <v/>
      </c>
      <c r="N76" s="1564" t="str">
        <f>IF('MATERIALIDAD PRESUPUESTAL'!$H$83="",IF(OR(I76&lt;=0,I76=""),"",H76/'MATERIALIDAD PRESUPUESTAL'!$C$46),IF(OR(I76&lt;=0,I76=""),"",H76/'MATERIALIDAD PRESUPUESTAL'!$F$83))</f>
        <v/>
      </c>
      <c r="O76" s="1565" t="str">
        <f>IF('MATERIALIDAD PRESUPUESTAL'!$H$83="",IF(OR(I76&lt;=0,I76=""),"",I76/'MATERIALIDAD PRESUPUESTAL'!$B$40),IF(OR(I76&lt;=0,I76=""),"",I76/'MATERIALIDAD PRESUPUESTAL'!$G$83))</f>
        <v/>
      </c>
    </row>
    <row r="77" spans="1:15" s="597" customFormat="1" ht="48.75" customHeight="1" x14ac:dyDescent="0.25">
      <c r="B77" s="1248" t="str">
        <f>IF('MATERIALIDAD PRESUPUESTAL'!$B$47="","OBLIGACIONES POR PAGAR (No Aplican, no existen o no auditados)","OBLIGACIONES POR PAGAR")</f>
        <v>OBLIGACIONES POR PAGAR</v>
      </c>
      <c r="C77" s="1249" t="str">
        <f>IF(B77="OBLIGACIONES POR PAGAR (No Aplican, no existen o no auditados)","","EFICACIA")</f>
        <v>EFICACIA</v>
      </c>
      <c r="D77" s="1250">
        <f>IF('MATERIALIDAD PRESUPUESTAL'!$B$47="","",K26)</f>
        <v>0.8325797160738263</v>
      </c>
      <c r="E77" s="1267"/>
      <c r="F77" s="1251">
        <f>IF(OR(B77="",D77=""),"",IF(E77='LISTAS PPTO'!$V$6,D77-'LISTAS PPTO'!$X$6,IF(E77='LISTAS PPTO'!$V$7,D77-'LISTAS PPTO'!$X$7,IF(E77='LISTAS PPTO'!$V$8,D77-'LISTAS PPTO'!$X$8,IF(E77='LISTAS PPTO'!$V$9,D77-'LISTAS PPTO'!$X$9,IF(E77='LISTAS PPTO'!$V$10,D77-'LISTAS PPTO'!$X$10,IF(E77='LISTAS PPTO'!$V$11,D77-'LISTAS PPTO'!$X$11,IF(E77='LISTAS PPTO'!$V$5,D77-'LISTAS PPTO'!$X$5,IF(E77='LISTAS PPTO'!$V$4,D77-'LISTAS PPTO'!$X$4,D77)))))))))</f>
        <v>0.8325797160738263</v>
      </c>
      <c r="G77" s="1252" t="str">
        <f t="shared" si="1"/>
        <v>EFICAZ</v>
      </c>
      <c r="H77" s="1562">
        <f>IF(OR(B77="",D77=""),"",SUMIF($D$40:$D$55,"*OBLIGACIONES*",$I$40:$I$55))</f>
        <v>0</v>
      </c>
      <c r="I77" s="1561" t="str">
        <f>IF(OR(H77&lt;=0,H77=""),"",SUMIF($D$40:$D$55,"*OBLIGACIONES*",$J$40:$J$55))</f>
        <v/>
      </c>
      <c r="J77" s="1560" t="str">
        <f>IF('MATERIALIDAD PRESUPUESTAL'!$H$84="",IF(OR(I77&lt;=0,I77=""),"",SUMIF($C$40:$C$55,"*Incorrección*Obligaciones*",$I$40:$I$55)/'MATERIALIDAD PRESUPUESTAL'!$C$47),IF(OR(I77&lt;=0,I77=""),"",SUMIF($C$40:$C$55,"*Incorrección*Obligaciones*",$I$40:$I$55)/'MATERIALIDAD PRESUPUESTAL'!$F$84))</f>
        <v/>
      </c>
      <c r="K77" s="1563" t="str">
        <f>IF('MATERIALIDAD PRESUPUESTAL'!$H$84="",IF(OR(J77&lt;=0,J77=""),"",SUMIF($C$40:$C$55,"*Incorrección*Obligaciones*",$I$40:$I$55)/'MATERIALIDAD PRESUPUESTAL'!$C$47),IF(OR(J77&lt;=0,J77=""),"",SUMIF($C$40:$C$55,"*Incorrección*Obligaciones*",$I$40:$I$55)/'MATERIALIDAD PRESUPUESTAL'!$F$84))</f>
        <v/>
      </c>
      <c r="L77" s="1560" t="str">
        <f>IF('MATERIALIDAD PRESUPUESTAL'!$H$83="",IF(OR(I77&lt;=0,I77=""),"",SUMIF($C$40:$C$55,"*Imposibilidades*Obligaciones*",$I$40:$I$55)/'MATERIALIDAD PRESUPUESTAL'!$C$47),IF(OR(I77&lt;=0,I77=""),"",SUMIF($C$40:$C$55,"*Imposibilidades*Obligaciones*",$I$40:$I$55)/'MATERIALIDAD PRESUPUESTAL'!$F$83))</f>
        <v/>
      </c>
      <c r="M77" s="1563" t="str">
        <f>IF('MATERIALIDAD PRESUPUESTAL'!$H$84="",IF(OR(I77&lt;=0,I77=""),"",SUMIF($C$40:$C$55,"*Imposibilidades*Obligaciones*",$J$40:$J$55)/'MATERIALIDAD PRESUPUESTAL'!$B$40),IF(OR(I77&lt;=0,I77=""),"",SUMIF($C$40:$C$55,"*Imposibilidades*Obligaciones*",$J$40:$J$55)/'MATERIALIDAD PRESUPUESTAL'!$G$84))</f>
        <v/>
      </c>
      <c r="N77" s="1564" t="str">
        <f>IF('MATERIALIDAD PRESUPUESTAL'!$H$84="",IF(OR(I77&lt;=0,I77=""),"",H77/'MATERIALIDAD PRESUPUESTAL'!$C$47),IF(OR(I77&lt;=0,I77=""),"",H77/'MATERIALIDAD PRESUPUESTAL'!$F$84))</f>
        <v/>
      </c>
      <c r="O77" s="1565" t="str">
        <f>IF('MATERIALIDAD PRESUPUESTAL'!$H$84="",IF(OR(I77&lt;=0,I77=""),"",I77/'MATERIALIDAD PRESUPUESTAL'!$B$40),IF(OR(I77&lt;=0,I77=""),"",I77/'MATERIALIDAD PRESUPUESTAL'!$G$84))</f>
        <v/>
      </c>
    </row>
    <row r="78" spans="1:15" s="597" customFormat="1" ht="43.5" customHeight="1" x14ac:dyDescent="0.25">
      <c r="B78" s="1248" t="str">
        <f>IF('MATERIALIDAD PRESUPUESTAL'!$B$48="","CUENTAS POR PAGAR (No Aplican, no existen o no auditados)","CUENTAS POR PAGAR")</f>
        <v>CUENTAS POR PAGAR</v>
      </c>
      <c r="C78" s="1249" t="str">
        <f>IF(B78="CUENTAS POR PAGAR (No Aplican, no existen o no auditados)","","EFICACIA")</f>
        <v>EFICACIA</v>
      </c>
      <c r="D78" s="1250">
        <f>IF(OR('MATERIALIDAD PRESUPUESTAL'!$B$48="",'MATERIALIDAD PRESUPUESTAL'!$B$48=""),"",K26)</f>
        <v>0.8325797160738263</v>
      </c>
      <c r="E78" s="1267" t="s">
        <v>893</v>
      </c>
      <c r="F78" s="1251">
        <f>IF(OR(B78="",D78=""),"",IF(E78='LISTAS PPTO'!$V$6,D78-'LISTAS PPTO'!$X$6,IF(E78='LISTAS PPTO'!$V$7,D78-'LISTAS PPTO'!$X$7,IF(E78='LISTAS PPTO'!$V$8,D78-'LISTAS PPTO'!$X$8,IF(E78='LISTAS PPTO'!$V$9,D78-'LISTAS PPTO'!$X$9,IF(E78='LISTAS PPTO'!$V$10,D78-'LISTAS PPTO'!$X$10,IF(E78='LISTAS PPTO'!$V$11,D78-'LISTAS PPTO'!$X$11,IF(E78='LISTAS PPTO'!$V$5,D78-'LISTAS PPTO'!$X$5,IF(E78='LISTAS PPTO'!$V$4,D78-'LISTAS PPTO'!$X$4,D78)))))))))</f>
        <v>0.78257971607382626</v>
      </c>
      <c r="G78" s="1252" t="str">
        <f t="shared" si="1"/>
        <v>EFICAZ</v>
      </c>
      <c r="H78" s="1562">
        <f>IF(OR(B78="",D78=""),"",SUMIF($D$40:$D$55,"*CUENTAS POR PAGAR*",$I$40:$I$55))</f>
        <v>2</v>
      </c>
      <c r="I78" s="1561">
        <f>IF(OR(H78&lt;=0,H78=""),"",SUMIF($D$40:$D$55,"*CUENTAS POR PAGAR*",$J$40:$J$55))</f>
        <v>2.8571428571428571E-3</v>
      </c>
      <c r="J78" s="1560">
        <f>IF('MATERIALIDAD PRESUPUESTAL'!$H$85="",IF(OR(I78&lt;=0,I78=""),"",SUMIF($C$40:$C$55,"*Incorrección*Cuentas por Pagar*",$I$40:$I$55)/'MATERIALIDAD PRESUPUESTAL'!$C$48),IF(OR(I78&lt;=0,I78=""),"",SUMIF($C$40:$C$55,"*Incorrección*Cuentas por Pagar*",$I$40:$I$55)/'MATERIALIDAD PRESUPUESTAL'!$F$85))</f>
        <v>0.2857142857142857</v>
      </c>
      <c r="K78" s="1563">
        <f>IF('MATERIALIDAD PRESUPUESTAL'!$H$85="",IF(OR(J78&lt;=0,J78=""),"",SUMIF($C$40:$C$55,"*Incorrección*Cuentas por Pagar*",$I$40:$I$55)/'MATERIALIDAD PRESUPUESTAL'!$C$48),IF(OR(J78&lt;=0,J78=""),"",SUMIF($C$40:$C$55,"*Incorrección*Cuentas por Pagar*",$I$40:$I$55)/'MATERIALIDAD PRESUPUESTAL'!$F$85))</f>
        <v>0.2857142857142857</v>
      </c>
      <c r="L78" s="1560">
        <f>IF('MATERIALIDAD PRESUPUESTAL'!$H$83="",IF(OR(I78&lt;=0,I78=""),"",SUMIF($C$40:$C$55,"*Imposibilidades*Cuentas por Pagar*",$I$40:$I$55)/'MATERIALIDAD PRESUPUESTAL'!$C$48),IF(OR(I78&lt;=0,I78=""),"",SUMIF($C$40:$C$55,"*Imposibilidades*Cuentas por Pagar*",$I$40:$I$55)/'MATERIALIDAD PRESUPUESTAL'!$F$83))</f>
        <v>0</v>
      </c>
      <c r="M78" s="1563">
        <f>IF('MATERIALIDAD PRESUPUESTAL'!$H$85="",IF(OR(I78&lt;=0,I78=""),"",SUMIF($C$40:$C$55,"*Imposibilidades*Cuentas por Pagar*",$J$40:$J$55)/'MATERIALIDAD PRESUPUESTAL'!$B$40),IF(OR(I78&lt;=0,I78=""),"",SUMIF($C$40:$C$55,"*Imposibilidades*Cuentas por Pagar*",$J$40:$J$55)/'MATERIALIDAD PRESUPUESTAL'!$G$85))</f>
        <v>0</v>
      </c>
      <c r="N78" s="1564">
        <f>IF('MATERIALIDAD PRESUPUESTAL'!$H$85="",IF(OR(I78&lt;=0,I78=""),"",H78/'MATERIALIDAD PRESUPUESTAL'!$C$48),IF(OR(I78&lt;=0,I78=""),"",H78/'MATERIALIDAD PRESUPUESTAL'!$F$85))</f>
        <v>0.2857142857142857</v>
      </c>
      <c r="O78" s="1565">
        <f>IF('MATERIALIDAD PRESUPUESTAL'!$H$85="",IF(OR(I78&lt;=0,I78=""),"",I78/'MATERIALIDAD PRESUPUESTAL'!$B$40),IF(OR(I78&lt;=0,I78=""),"",I78/'MATERIALIDAD PRESUPUESTAL'!$G$85))</f>
        <v>0.2857142857142857</v>
      </c>
    </row>
    <row r="79" spans="1:15" s="597" customFormat="1" ht="44.25" customHeight="1" x14ac:dyDescent="0.25">
      <c r="B79" s="1248" t="str">
        <f>IF('MATERIALIDAD PRESUPUESTAL'!$B$49="","PASIVOS EXIGIBLES (No Aplican, no existen o no auditados)","PASIVOS EXIGIBLES")</f>
        <v>PASIVOS EXIGIBLES</v>
      </c>
      <c r="C79" s="1249" t="str">
        <f>IF(B79="PASIVOS EXIGIBLES (No Aplican, no existen o no auditados)","","EFICACIA")</f>
        <v>EFICACIA</v>
      </c>
      <c r="D79" s="1250">
        <f>IF('MATERIALIDAD PRESUPUESTAL'!$B$49="","",K31)</f>
        <v>0.8325797160738263</v>
      </c>
      <c r="E79" s="1267" t="s">
        <v>1290</v>
      </c>
      <c r="F79" s="1251">
        <f>IF(OR(B79="",D79=""),"",IF(E79='LISTAS PPTO'!$V$6,D79-'LISTAS PPTO'!$X$6,IF(E79='LISTAS PPTO'!$V$7,D79-'LISTAS PPTO'!$X$7,IF(E79='LISTAS PPTO'!$V$8,D79-'LISTAS PPTO'!$X$8,IF(E79='LISTAS PPTO'!$V$9,D79-'LISTAS PPTO'!$X$9,IF(E79='LISTAS PPTO'!$V$10,D79-'LISTAS PPTO'!$X$10,IF(E79='LISTAS PPTO'!$V$11,D79-'LISTAS PPTO'!$X$11,IF(E79='LISTAS PPTO'!$V$5,D79-'LISTAS PPTO'!$X$5,IF(E79='LISTAS PPTO'!$V$4,D79-'LISTAS PPTO'!$X$4,D79)))))))))</f>
        <v>0.8325797160738263</v>
      </c>
      <c r="G79" s="1252" t="str">
        <f t="shared" si="1"/>
        <v>EFICAZ</v>
      </c>
      <c r="H79" s="1562">
        <f>IF(OR(B79="",D79=""),"",SUMIF($D$40:$D$55,"*PASIVOS EXIGIBLES*",$I$40:$I$55))</f>
        <v>0</v>
      </c>
      <c r="I79" s="1561" t="str">
        <f>IF(OR(H79&lt;=0,H79=""),"",SUMIF($D$40:$D$55,"*PASIVOS EXIGIBLES*",$J$40:$J$55))</f>
        <v/>
      </c>
      <c r="J79" s="1560" t="str">
        <f>IF('MATERIALIDAD PRESUPUESTAL'!$H$86="",IF(OR(I79&lt;=0,I79=""),"",SUMIF($C$40:$C$55,"*Incorrección*Pasivos*",$I$40:$I$55)/'MATERIALIDAD PRESUPUESTAL'!$C$49),IF(OR(I79&lt;=0,I79=""),"",SUMIF($C$40:$C$55,"*Incorrección*Pasivos*",$I$40:$I$55)/'MATERIALIDAD PRESUPUESTAL'!$F$86))</f>
        <v/>
      </c>
      <c r="K79" s="1563" t="str">
        <f>IF('MATERIALIDAD PRESUPUESTAL'!$H$86="",IF(OR(J79&lt;=0,J79=""),"",SUMIF($C$40:$C$55,"*Incorrección*Pasivos*",$I$40:$I$55)/'MATERIALIDAD PRESUPUESTAL'!$C$49),IF(OR(J79&lt;=0,J79=""),"",SUMIF($C$40:$C$55,"*Incorrección*Pasivos*",$I$40:$I$55)/'MATERIALIDAD PRESUPUESTAL'!$F$86))</f>
        <v/>
      </c>
      <c r="L79" s="1560" t="str">
        <f>IF('MATERIALIDAD PRESUPUESTAL'!$H$84="",IF(OR(I79&lt;=0,I79=""),"",SUMIF($C$40:$C$55,"*Imposibilidades*Pasivos*",$I$40:$I$55)/'MATERIALIDAD PRESUPUESTAL'!$C$49),IF(OR(I79&lt;=0,I79=""),"",SUMIF($C$40:$C$55,"*Imposibilidades*Pasivos*",$I$40:$I$55)/'MATERIALIDAD PRESUPUESTAL'!$F$84))</f>
        <v/>
      </c>
      <c r="M79" s="1563" t="str">
        <f>IF('MATERIALIDAD PRESUPUESTAL'!$H$86="",IF(OR(I79&lt;=0,I79=""),"",SUMIF($C$40:$C$55,"*Imposibilidades*Pasivos*",$J$40:$J$55)/'MATERIALIDAD PRESUPUESTAL'!$B$40),IF(OR(I79&lt;=0,I79=""),"",SUMIF($C$40:$C$55,"*Imposibilidades*Pasivos*",$J$40:$J$55)/'MATERIALIDAD PRESUPUESTAL'!$G$86))</f>
        <v/>
      </c>
      <c r="N79" s="1564" t="str">
        <f>IF('MATERIALIDAD PRESUPUESTAL'!$H$86="",IF(OR(I79&lt;=0,I79=""),"",H79/'MATERIALIDAD PRESUPUESTAL'!$C$49),IF(OR(I79&lt;=0,I79=""),"",H79/'MATERIALIDAD PRESUPUESTAL'!$F$86))</f>
        <v/>
      </c>
      <c r="O79" s="1565" t="str">
        <f>IF('MATERIALIDAD PRESUPUESTAL'!$H$86="",IF(OR(I79&lt;=0,I79=""),"",I79/'MATERIALIDAD PRESUPUESTAL'!$B$40),IF(OR(I79&lt;=0,I79=""),"",I79/'MATERIALIDAD PRESUPUESTAL'!$G$86))</f>
        <v/>
      </c>
    </row>
    <row r="80" spans="1:15" s="597" customFormat="1" ht="45.75" customHeight="1" x14ac:dyDescent="0.25">
      <c r="B80" s="1248" t="str">
        <f>IF('MATERIALIDAD PRESUPUESTAL'!$B$50="","VIGENCIAS FUTURAS (No Aplican, no existen o no auditados)","VIGENCIAS FUTURAS")</f>
        <v>VIGENCIAS FUTURAS</v>
      </c>
      <c r="C80" s="1249" t="str">
        <f>IF(B80="VIGENCIAS FUTURAS (No Aplican, no existen o no auditados)","","EFICACIA")</f>
        <v>EFICACIA</v>
      </c>
      <c r="D80" s="1250">
        <f>IF('MATERIALIDAD PRESUPUESTAL'!$B$50="","",AVERAGE(K27:K28))</f>
        <v>0.54093567251461994</v>
      </c>
      <c r="E80" s="1267" t="s">
        <v>1290</v>
      </c>
      <c r="F80" s="1251">
        <f>IF(OR(B80="",D80=""),"",IF(E80='LISTAS PPTO'!$V$6,D80-'LISTAS PPTO'!$X$6,IF(E80='LISTAS PPTO'!$V$7,D80-'LISTAS PPTO'!$X$7,IF(E80='LISTAS PPTO'!$V$8,D80-'LISTAS PPTO'!$X$8,IF(E80='LISTAS PPTO'!$V$9,D80-'LISTAS PPTO'!$X$9,IF(E80='LISTAS PPTO'!$V$10,D80-'LISTAS PPTO'!$X$10,IF(E80='LISTAS PPTO'!$V$11,D80-'LISTAS PPTO'!$X$11,IF(E80='LISTAS PPTO'!$V$5,D80-'LISTAS PPTO'!$X$5,IF(E80='LISTAS PPTO'!$V$4,D80-'LISTAS PPTO'!$X$4,D80)))))))))</f>
        <v>0.54093567251461994</v>
      </c>
      <c r="G80" s="1252" t="str">
        <f t="shared" si="1"/>
        <v>INEFICAZ</v>
      </c>
      <c r="H80" s="1562">
        <f>IF(OR(B80="",D80=""),"",SUMIF($D$40:$D$55,"*VIGENCIAS FUTURAS*",$I$40:$I$55))</f>
        <v>0</v>
      </c>
      <c r="I80" s="1561" t="str">
        <f>IF(OR(H80&lt;=0,H80=""),"",SUMIF($D$40:$D$55,"*VIGENCIAS FUTURAS*",$J$40:$J$55))</f>
        <v/>
      </c>
      <c r="J80" s="1560" t="str">
        <f>IF('MATERIALIDAD PRESUPUESTAL'!$H$87="",IF(OR(I80&lt;=0,I80=""),"",SUMIF($C$40:$C$55,"*Incorrección*Vigencias*",$I$40:$I$55)/'MATERIALIDAD PRESUPUESTAL'!$C$50),IF(OR(I80&lt;=0,I80=""),"",SUMIF($C$40:$C$55,"*Incorrección*Vigencias*",$I$40:$I$55)/'MATERIALIDAD PRESUPUESTAL'!$F$87))</f>
        <v/>
      </c>
      <c r="K80" s="1563" t="str">
        <f>IF('MATERIALIDAD PRESUPUESTAL'!$H$87="",IF(OR(J80&lt;=0,J80=""),"",SUMIF($C$40:$C$55,"*Incorrección*Vigencias*",$I$40:$I$55)/'MATERIALIDAD PRESUPUESTAL'!$C$50),IF(OR(J80&lt;=0,J80=""),"",SUMIF($C$40:$C$55,"*Incorrección*Vigencias*",$I$40:$I$55)/'MATERIALIDAD PRESUPUESTAL'!$F$87))</f>
        <v/>
      </c>
      <c r="L80" s="1560" t="str">
        <f>IF('MATERIALIDAD PRESUPUESTAL'!$H$85="",IF(OR(I80&lt;=0,I80=""),"",SUMIF($C$40:$C$55,"*Imposibilidades*Vigencias*",$I$40:$I$55)/'MATERIALIDAD PRESUPUESTAL'!$C$50),IF(OR(I80&lt;=0,I80=""),"",SUMIF($C$40:$C$55,"*Imposibilidades*Vigencias*",$I$40:$I$55)/'MATERIALIDAD PRESUPUESTAL'!$F$85))</f>
        <v/>
      </c>
      <c r="M80" s="1563" t="str">
        <f>IF('MATERIALIDAD PRESUPUESTAL'!$H$87="",IF(OR(I80&lt;=0,I80=""),"",SUMIF($C$40:$C$55,"*Imposibilidades*Vigencias*",$J$40:$J$55)/'MATERIALIDAD PRESUPUESTAL'!$B$40),IF(OR(I80&lt;=0,I80=""),"",SUMIF($C$40:$C$55,"*Imposibilidades*Vigencias*",$J$40:$J$55)/'MATERIALIDAD PRESUPUESTAL'!$G$87))</f>
        <v/>
      </c>
      <c r="N80" s="1564" t="str">
        <f>IF('MATERIALIDAD PRESUPUESTAL'!$H$87="",IF(OR(I80&lt;=0,I80=""),"",H80/'MATERIALIDAD PRESUPUESTAL'!$C$50),IF(OR(I80&lt;=0,I80=""),"",H80/'MATERIALIDAD PRESUPUESTAL'!$F$87))</f>
        <v/>
      </c>
      <c r="O80" s="1565" t="str">
        <f>IF('MATERIALIDAD PRESUPUESTAL'!$H$87="",IF(OR(I80&lt;=0,I80=""),"",I80/'MATERIALIDAD PRESUPUESTAL'!$B$40),IF(OR(I80&lt;=0,I80=""),"",I80/'MATERIALIDAD PRESUPUESTAL'!$G$87))</f>
        <v/>
      </c>
    </row>
    <row r="81" spans="2:13" s="597" customFormat="1" ht="26.45" customHeight="1" x14ac:dyDescent="0.25">
      <c r="B81" s="2371" t="s">
        <v>1255</v>
      </c>
      <c r="C81" s="2371"/>
      <c r="D81" s="1253">
        <f>AVERAGE(D73:D80)</f>
        <v>0.79996662615179903</v>
      </c>
      <c r="E81" s="301"/>
      <c r="F81" s="1253">
        <f>AVERAGE(F73:F80)</f>
        <v>0.77496662615179901</v>
      </c>
      <c r="G81" s="1254" t="str">
        <f>IF(F81&gt;=0.75,"EFICAZ","INEFICAZ")</f>
        <v>EFICAZ</v>
      </c>
      <c r="M81" s="1255"/>
    </row>
    <row r="82" spans="2:13" s="597" customFormat="1" hidden="1" x14ac:dyDescent="0.25"/>
    <row r="83" spans="2:13" s="597" customFormat="1" ht="15" hidden="1" customHeight="1" x14ac:dyDescent="0.25"/>
    <row r="84" spans="2:13" s="597" customFormat="1" hidden="1" x14ac:dyDescent="0.25"/>
    <row r="85" spans="2:13" s="597" customFormat="1" ht="28.9" customHeight="1" x14ac:dyDescent="0.25"/>
    <row r="86" spans="2:13" s="597" customFormat="1" ht="32.450000000000003" customHeight="1" x14ac:dyDescent="0.25">
      <c r="B86" s="2368" t="s">
        <v>1262</v>
      </c>
      <c r="C86" s="2368"/>
    </row>
    <row r="87" spans="2:13" s="597" customFormat="1" ht="33.75" customHeight="1" x14ac:dyDescent="0.25">
      <c r="C87" s="735" t="s">
        <v>1256</v>
      </c>
      <c r="D87" s="735" t="s">
        <v>534</v>
      </c>
      <c r="E87" s="735" t="s">
        <v>1575</v>
      </c>
    </row>
    <row r="88" spans="2:13" s="597" customFormat="1" ht="45.6" customHeight="1" x14ac:dyDescent="0.25">
      <c r="B88" s="1256" t="s">
        <v>1257</v>
      </c>
      <c r="C88" s="1257">
        <f>IF(N73="",0,IF(O73&gt;O74,N73,N74))</f>
        <v>1</v>
      </c>
      <c r="D88" s="1257">
        <f>IF(O73="",0,O73)</f>
        <v>1</v>
      </c>
      <c r="E88" s="1257">
        <f>SUM(O74,O75:O80)</f>
        <v>0.7857142857142857</v>
      </c>
    </row>
    <row r="89" spans="2:13" s="597" customFormat="1" ht="31.15" customHeight="1" x14ac:dyDescent="0.25">
      <c r="B89" s="1256" t="s">
        <v>1258</v>
      </c>
      <c r="C89" s="838" t="str">
        <f>IF(C88&lt;1,"SI","NO")</f>
        <v>NO</v>
      </c>
      <c r="D89" s="838" t="str">
        <f>IF(D88&lt;1,"SI","NO")</f>
        <v>NO</v>
      </c>
      <c r="E89" s="838" t="str">
        <f>IF(E88&lt;1,"SI","NO")</f>
        <v>SI</v>
      </c>
    </row>
    <row r="90" spans="2:13" s="597" customFormat="1" ht="33.6" customHeight="1" x14ac:dyDescent="0.25">
      <c r="B90" s="1258" t="s">
        <v>1259</v>
      </c>
      <c r="C90" s="838" t="str">
        <f>IF(C88="","",IF(AND(C88&gt;=1,C88&lt;5),"SI","NO"))</f>
        <v>SI</v>
      </c>
      <c r="D90" s="838" t="str">
        <f>IF(D88="","",IF(AND(D88&gt;=1,D88&lt;5),"SI","NO"))</f>
        <v>SI</v>
      </c>
      <c r="E90" s="838" t="str">
        <f>IF(E88="","",IF(AND(E88&gt;=1,E88&lt;5),"SI","NO"))</f>
        <v>NO</v>
      </c>
    </row>
    <row r="91" spans="2:13" s="597" customFormat="1" ht="42" customHeight="1" x14ac:dyDescent="0.25">
      <c r="B91" s="1258" t="s">
        <v>1260</v>
      </c>
      <c r="C91" s="838" t="str">
        <f>IF(C88&gt;=5,"SI","NO")</f>
        <v>NO</v>
      </c>
      <c r="D91" s="838" t="str">
        <f>IF(D88&gt;=5,"SI","NO")</f>
        <v>NO</v>
      </c>
      <c r="E91" s="838" t="str">
        <f>IF(E88&gt;=1,"SI","NO")</f>
        <v>NO</v>
      </c>
    </row>
    <row r="92" spans="2:13" s="597" customFormat="1" ht="58.9" customHeight="1" x14ac:dyDescent="0.25">
      <c r="B92" s="1258" t="s">
        <v>1261</v>
      </c>
      <c r="C92" s="1259" t="str">
        <f>IF(C88=N73,IF(L73&gt;=J73,"PREDOMINA IMPOSIBILIDADES","PREDOMINA INCORRECCIONES"),IF(C88=SUM(N74,N75:N80),IF(SUM(L74,L75:L80)&gt;=SUM(J74,J75:J80),"PREDOMINA IMPOSIBILIDADES","PREDOMINA INCORRECCIONES"),""))</f>
        <v>PREDOMINA INCORRECCIONES</v>
      </c>
      <c r="D92" s="1259" t="str">
        <f>IF(D88=O73,IF(M73&gt;=K73,"PREDOMINA IMPOSIBILIDADES","PREDOMINA INCORRECCIONES"),"")</f>
        <v>PREDOMINA INCORRECCIONES</v>
      </c>
      <c r="E92" s="1259" t="str">
        <f>IF(E88=SUM(O74,O75:O80),IF(SUM(M74,M75:M80)&gt;=SUM(K74,K75:K80),"PREDOMINA IMPOSIBILIDADES","PREDOMINA INCORRECCIONES"),"")</f>
        <v>PREDOMINA IMPOSIBILIDADES</v>
      </c>
    </row>
    <row r="93" spans="2:13" s="597" customFormat="1" ht="24.6" customHeight="1" x14ac:dyDescent="0.25"/>
    <row r="94" spans="2:13" s="597" customFormat="1" hidden="1" x14ac:dyDescent="0.25"/>
    <row r="95" spans="2:13" s="597" customFormat="1" hidden="1" x14ac:dyDescent="0.25"/>
    <row r="96" spans="2:13" s="597" customFormat="1" hidden="1" x14ac:dyDescent="0.25"/>
    <row r="97" spans="2:17" s="597" customFormat="1" ht="19.149999999999999" customHeight="1" x14ac:dyDescent="0.25">
      <c r="D97" s="697"/>
      <c r="E97" s="697"/>
      <c r="F97" s="697"/>
      <c r="G97" s="737"/>
      <c r="H97" s="697"/>
    </row>
    <row r="98" spans="2:17" s="597" customFormat="1" ht="30" customHeight="1" x14ac:dyDescent="0.25">
      <c r="B98" s="2368" t="s">
        <v>1262</v>
      </c>
      <c r="C98" s="2368"/>
      <c r="D98" s="739"/>
      <c r="E98" s="300"/>
      <c r="F98" s="739"/>
      <c r="G98" s="739"/>
      <c r="H98" s="300"/>
      <c r="N98" s="1260"/>
      <c r="Q98" s="300"/>
    </row>
    <row r="99" spans="2:17" s="597" customFormat="1" ht="39.75" customHeight="1" x14ac:dyDescent="0.25">
      <c r="C99" s="739"/>
      <c r="D99" s="739"/>
      <c r="E99" s="739"/>
      <c r="F99" s="739"/>
      <c r="G99" s="739"/>
      <c r="H99" s="300"/>
      <c r="N99" s="1260"/>
      <c r="Q99" s="300"/>
    </row>
    <row r="100" spans="2:17" s="597" customFormat="1" ht="15.75" thickBot="1" x14ac:dyDescent="0.3">
      <c r="C100" s="739"/>
      <c r="D100" s="739"/>
      <c r="E100" s="739"/>
      <c r="F100" s="739"/>
      <c r="I100" s="740"/>
      <c r="N100" s="1260"/>
      <c r="Q100" s="300"/>
    </row>
    <row r="101" spans="2:17" s="597" customFormat="1" ht="39.75" customHeight="1" thickTop="1" thickBot="1" x14ac:dyDescent="0.3">
      <c r="B101" s="2373" t="s">
        <v>1573</v>
      </c>
      <c r="C101" s="2373"/>
      <c r="D101" s="970" t="str">
        <f>IF(D73="","No Aplica",IF(D89="SI","Razonable",IF(D90="SI","Con Salvedades",IF(AND(D91="SI",D92="Predomina Incorrecciones"),"No Razonable",IF(AND(D91="SI",D92="Predomina Imposibilidades"),"Abstención","")))))</f>
        <v>Con Salvedades</v>
      </c>
      <c r="E101" s="1261">
        <f>VLOOKUP(D101,ConceptoPresupuesto235[],2,FALSE)</f>
        <v>0.75</v>
      </c>
      <c r="F101" s="971" t="s">
        <v>1263</v>
      </c>
      <c r="G101" s="970" t="str">
        <f>+VLOOKUP(CONCATENATE(D101,D102),'FENECIMIENTO CUENTA'!F39:I64,4,0)</f>
        <v>Con Salvedades</v>
      </c>
      <c r="I101" s="300"/>
      <c r="N101" s="1260"/>
      <c r="Q101" s="300"/>
    </row>
    <row r="102" spans="2:17" s="597" customFormat="1" ht="39.75" customHeight="1" thickTop="1" thickBot="1" x14ac:dyDescent="0.3">
      <c r="B102" s="2373" t="s">
        <v>1574</v>
      </c>
      <c r="C102" s="2373"/>
      <c r="D102" s="970" t="str">
        <f>IF(D74="No Aplica","No Aplica",IF(E89="SI","Razonable",IF(E90="SI","Con Salvedades",IF(AND(E91="SI",E92="Predomina Incorrecciones"),"No Razonable",IF(AND(E91="SI",E92="Predomina Imposibilidades"),"Abstención","")))))</f>
        <v>Razonable</v>
      </c>
      <c r="E102" s="1261">
        <f>VLOOKUP(D102,ConceptoPresupuesto235[],2,FALSE)</f>
        <v>1</v>
      </c>
      <c r="F102" s="971" t="s">
        <v>1264</v>
      </c>
      <c r="G102" s="1261">
        <f>VLOOKUP(G101,ConceptoPresupuesto235[],2,FALSE)</f>
        <v>0.75</v>
      </c>
      <c r="I102" s="300"/>
      <c r="N102" s="1260"/>
      <c r="Q102" s="1262"/>
    </row>
    <row r="103" spans="2:17" s="597" customFormat="1" ht="37.15" customHeight="1" thickTop="1" x14ac:dyDescent="0.25">
      <c r="B103" s="2372"/>
      <c r="C103" s="2372"/>
      <c r="H103" s="99"/>
      <c r="I103" s="99"/>
      <c r="J103" s="99"/>
      <c r="K103" s="99"/>
    </row>
    <row r="104" spans="2:17" s="697" customFormat="1" ht="31.9" customHeight="1" x14ac:dyDescent="0.25">
      <c r="B104" s="2368" t="s">
        <v>1262</v>
      </c>
      <c r="C104" s="2368"/>
      <c r="H104" s="1611"/>
      <c r="I104" s="1611"/>
      <c r="J104" s="1611"/>
      <c r="K104" s="1611"/>
    </row>
    <row r="105" spans="2:17" s="597" customFormat="1" ht="27" customHeight="1" x14ac:dyDescent="0.25">
      <c r="B105" s="2374" t="s">
        <v>1563</v>
      </c>
      <c r="C105" s="2375"/>
      <c r="D105" s="2376"/>
      <c r="E105" s="2376"/>
      <c r="F105" s="2376"/>
      <c r="G105" s="2377"/>
    </row>
    <row r="106" spans="2:17" s="597" customFormat="1" ht="48" customHeight="1" thickBot="1" x14ac:dyDescent="0.3">
      <c r="B106" s="1263" t="s">
        <v>1564</v>
      </c>
      <c r="C106" s="1263" t="s">
        <v>908</v>
      </c>
      <c r="D106" s="1263" t="s">
        <v>909</v>
      </c>
      <c r="E106" s="1263" t="s">
        <v>910</v>
      </c>
      <c r="F106" s="1263" t="s">
        <v>1265</v>
      </c>
      <c r="G106" s="1263" t="s">
        <v>912</v>
      </c>
    </row>
    <row r="107" spans="2:17" s="597" customFormat="1" ht="99.75" customHeight="1" thickBot="1" x14ac:dyDescent="0.3">
      <c r="B107" s="1264" t="s">
        <v>1553</v>
      </c>
      <c r="C107" s="1264" t="s">
        <v>1266</v>
      </c>
      <c r="D107" s="1264" t="s">
        <v>1267</v>
      </c>
      <c r="E107" s="1264" t="s">
        <v>1268</v>
      </c>
      <c r="F107" s="1265">
        <v>100</v>
      </c>
      <c r="G107" s="1265" t="s">
        <v>497</v>
      </c>
    </row>
    <row r="108" spans="2:17" s="597" customFormat="1" ht="96.75" customHeight="1" thickBot="1" x14ac:dyDescent="0.3">
      <c r="B108" s="1264" t="s">
        <v>917</v>
      </c>
      <c r="C108" s="1264" t="s">
        <v>1269</v>
      </c>
      <c r="D108" s="1264" t="s">
        <v>1270</v>
      </c>
      <c r="E108" s="1264" t="s">
        <v>1271</v>
      </c>
      <c r="F108" s="1265">
        <v>75</v>
      </c>
      <c r="G108" s="1265" t="s">
        <v>497</v>
      </c>
    </row>
    <row r="109" spans="2:17" s="597" customFormat="1" ht="91.9" customHeight="1" thickBot="1" x14ac:dyDescent="0.3">
      <c r="B109" s="1264" t="s">
        <v>1554</v>
      </c>
      <c r="C109" s="1266" t="s">
        <v>1272</v>
      </c>
      <c r="D109" s="1266" t="s">
        <v>1272</v>
      </c>
      <c r="E109" s="1266" t="s">
        <v>1273</v>
      </c>
      <c r="F109" s="1265">
        <v>0</v>
      </c>
      <c r="G109" s="1265" t="s">
        <v>512</v>
      </c>
    </row>
    <row r="110" spans="2:17" s="597" customFormat="1" ht="138" customHeight="1" thickBot="1" x14ac:dyDescent="0.3">
      <c r="B110" s="1264" t="s">
        <v>516</v>
      </c>
      <c r="C110" s="1265"/>
      <c r="D110" s="1266" t="s">
        <v>1274</v>
      </c>
      <c r="E110" s="1266" t="s">
        <v>1275</v>
      </c>
      <c r="F110" s="1265">
        <v>0</v>
      </c>
      <c r="G110" s="1265" t="s">
        <v>512</v>
      </c>
    </row>
    <row r="111" spans="2:17" s="597" customFormat="1" x14ac:dyDescent="0.25"/>
    <row r="112" spans="2:17" s="597" customFormat="1" ht="15" thickBot="1" x14ac:dyDescent="0.3"/>
    <row r="113" spans="2:5" s="597" customFormat="1" x14ac:dyDescent="0.25">
      <c r="B113" s="2263" t="s">
        <v>666</v>
      </c>
      <c r="C113" s="2265"/>
      <c r="D113" s="2265"/>
      <c r="E113" s="2266"/>
    </row>
    <row r="114" spans="2:5" s="597" customFormat="1" ht="89.25" customHeight="1" thickBot="1" x14ac:dyDescent="0.3">
      <c r="B114" s="2264"/>
      <c r="C114" s="2267"/>
      <c r="D114" s="2267"/>
      <c r="E114" s="2268"/>
    </row>
    <row r="115" spans="2:5" s="597" customFormat="1" ht="32.450000000000003" customHeight="1" x14ac:dyDescent="0.25">
      <c r="B115" s="598"/>
      <c r="C115" s="696" t="s">
        <v>1744</v>
      </c>
      <c r="D115" s="2255" t="s">
        <v>1745</v>
      </c>
      <c r="E115" s="2255"/>
    </row>
    <row r="116" spans="2:5" s="597" customFormat="1" ht="47.25" customHeight="1" x14ac:dyDescent="0.25">
      <c r="B116" s="1802" t="s">
        <v>667</v>
      </c>
      <c r="C116" s="231"/>
      <c r="D116" s="2369"/>
      <c r="E116" s="2369"/>
    </row>
    <row r="117" spans="2:5" s="597" customFormat="1" ht="51" customHeight="1" x14ac:dyDescent="0.25">
      <c r="B117" s="1802"/>
      <c r="C117" s="231"/>
      <c r="D117" s="2369"/>
      <c r="E117" s="2369"/>
    </row>
    <row r="118" spans="2:5" s="597" customFormat="1" ht="51" customHeight="1" x14ac:dyDescent="0.25">
      <c r="B118" s="1802"/>
      <c r="C118" s="231"/>
      <c r="D118" s="2369"/>
      <c r="E118" s="2369"/>
    </row>
    <row r="119" spans="2:5" s="597" customFormat="1" ht="51" customHeight="1" x14ac:dyDescent="0.25">
      <c r="B119" s="1802"/>
      <c r="C119" s="231"/>
      <c r="D119" s="2369"/>
      <c r="E119" s="2369"/>
    </row>
    <row r="120" spans="2:5" s="597" customFormat="1" ht="51" customHeight="1" x14ac:dyDescent="0.25">
      <c r="B120" s="1802"/>
      <c r="C120" s="231"/>
      <c r="D120" s="2369"/>
      <c r="E120" s="2369"/>
    </row>
    <row r="121" spans="2:5" s="597" customFormat="1" ht="51" customHeight="1" x14ac:dyDescent="0.25">
      <c r="B121" s="1802"/>
      <c r="C121" s="231"/>
      <c r="D121" s="2369"/>
      <c r="E121" s="2369"/>
    </row>
    <row r="122" spans="2:5" s="597" customFormat="1" ht="65.25" customHeight="1" x14ac:dyDescent="0.25">
      <c r="B122" s="1802"/>
      <c r="C122" s="231"/>
      <c r="D122" s="2369"/>
      <c r="E122" s="2369"/>
    </row>
    <row r="123" spans="2:5" s="597" customFormat="1" ht="38.25" customHeight="1" x14ac:dyDescent="0.25">
      <c r="B123" s="1802" t="s">
        <v>1277</v>
      </c>
      <c r="C123" s="231"/>
      <c r="D123" s="2369"/>
      <c r="E123" s="2369"/>
    </row>
    <row r="124" spans="2:5" s="597" customFormat="1" ht="38.25" customHeight="1" x14ac:dyDescent="0.25">
      <c r="B124" s="1802"/>
      <c r="C124" s="231"/>
      <c r="D124" s="2369"/>
      <c r="E124" s="2369"/>
    </row>
    <row r="125" spans="2:5" s="597" customFormat="1" ht="52.9" customHeight="1" x14ac:dyDescent="0.25">
      <c r="B125" s="1802"/>
      <c r="C125" s="231"/>
      <c r="D125" s="2369"/>
      <c r="E125" s="2369"/>
    </row>
    <row r="126" spans="2:5" s="597" customFormat="1" ht="45" customHeight="1" x14ac:dyDescent="0.25">
      <c r="B126" s="1802"/>
      <c r="C126" s="231"/>
      <c r="D126" s="2369"/>
      <c r="E126" s="2369"/>
    </row>
    <row r="127" spans="2:5" s="597" customFormat="1" ht="82.9" customHeight="1" x14ac:dyDescent="0.25">
      <c r="B127" s="1323" t="s">
        <v>1278</v>
      </c>
      <c r="C127" s="1713"/>
      <c r="D127" s="1714"/>
      <c r="E127" s="1715"/>
    </row>
    <row r="128" spans="2:5" s="597" customFormat="1" ht="56.25" customHeight="1" x14ac:dyDescent="0.25">
      <c r="B128" s="1323" t="s">
        <v>668</v>
      </c>
      <c r="C128" s="231"/>
      <c r="D128" s="2369"/>
      <c r="E128" s="2369"/>
    </row>
    <row r="129" s="597" customFormat="1" x14ac:dyDescent="0.25"/>
  </sheetData>
  <sheetProtection algorithmName="SHA-512" hashValue="zmYIsbGcWE55Bj0RzrEDnwTY/zopjOVnfNNJUcrOVlYbIlWpVsXsFmAoIdTQFPXmtdbYbwIxebV6sIDlDvEG4Q==" saltValue="6SkM1ERD0F1/7M3QM6vLlA==" spinCount="100000" sheet="1" pivotTables="0"/>
  <protectedRanges>
    <protectedRange sqref="C36 C23:C30 C18:C19" name="Rango6_1"/>
    <protectedRange sqref="C31 D36 E25:F30" name="Rango4_1"/>
    <protectedRange sqref="E36:F36 E31:F31 E23:F24" name="Rango3_1"/>
    <protectedRange sqref="K23:K37" name="Rango2_1"/>
    <protectedRange sqref="D27:D28" name="Rango4"/>
    <protectedRange sqref="D23:D26" name="Rango4_2"/>
    <protectedRange sqref="D29:D33" name="Rango4_3"/>
  </protectedRanges>
  <mergeCells count="88">
    <mergeCell ref="A56:H56"/>
    <mergeCell ref="E45:F45"/>
    <mergeCell ref="E46:F46"/>
    <mergeCell ref="E47:F47"/>
    <mergeCell ref="E48:F48"/>
    <mergeCell ref="E49:F49"/>
    <mergeCell ref="E50:F50"/>
    <mergeCell ref="D128:E128"/>
    <mergeCell ref="C127:E127"/>
    <mergeCell ref="D120:E120"/>
    <mergeCell ref="D121:E121"/>
    <mergeCell ref="A5:H5"/>
    <mergeCell ref="A6:H6"/>
    <mergeCell ref="A7:H7"/>
    <mergeCell ref="A8:B8"/>
    <mergeCell ref="C8:D8"/>
    <mergeCell ref="A9:B9"/>
    <mergeCell ref="C9:D9"/>
    <mergeCell ref="G9:H9"/>
    <mergeCell ref="G8:H8"/>
    <mergeCell ref="E44:F44"/>
    <mergeCell ref="H23:H32"/>
    <mergeCell ref="E39:F39"/>
    <mergeCell ref="A1:I1"/>
    <mergeCell ref="A2:B3"/>
    <mergeCell ref="K2:K3"/>
    <mergeCell ref="A4:H4"/>
    <mergeCell ref="C2:J3"/>
    <mergeCell ref="A17:K17"/>
    <mergeCell ref="A10:B10"/>
    <mergeCell ref="C10:D10"/>
    <mergeCell ref="G10:H10"/>
    <mergeCell ref="A11:B11"/>
    <mergeCell ref="C11:D11"/>
    <mergeCell ref="G11:H11"/>
    <mergeCell ref="B18:D18"/>
    <mergeCell ref="J23:J32"/>
    <mergeCell ref="I29:I30"/>
    <mergeCell ref="B36:C36"/>
    <mergeCell ref="A37:N37"/>
    <mergeCell ref="A21:A22"/>
    <mergeCell ref="B21:F21"/>
    <mergeCell ref="G21:G22"/>
    <mergeCell ref="H21:H22"/>
    <mergeCell ref="I21:I22"/>
    <mergeCell ref="J21:J22"/>
    <mergeCell ref="K21:K22"/>
    <mergeCell ref="B20:F20"/>
    <mergeCell ref="D126:E126"/>
    <mergeCell ref="D115:E115"/>
    <mergeCell ref="B68:E68"/>
    <mergeCell ref="J70:K70"/>
    <mergeCell ref="D125:E125"/>
    <mergeCell ref="B98:C98"/>
    <mergeCell ref="B116:B122"/>
    <mergeCell ref="B123:B126"/>
    <mergeCell ref="B81:C81"/>
    <mergeCell ref="B86:C86"/>
    <mergeCell ref="B103:C103"/>
    <mergeCell ref="D118:E118"/>
    <mergeCell ref="D119:E119"/>
    <mergeCell ref="B101:C101"/>
    <mergeCell ref="B102:C102"/>
    <mergeCell ref="B105:G105"/>
    <mergeCell ref="B113:B114"/>
    <mergeCell ref="C113:E114"/>
    <mergeCell ref="B104:C104"/>
    <mergeCell ref="D124:E124"/>
    <mergeCell ref="D116:E116"/>
    <mergeCell ref="D117:E117"/>
    <mergeCell ref="D122:E122"/>
    <mergeCell ref="D123:E123"/>
    <mergeCell ref="B38:G38"/>
    <mergeCell ref="L70:M70"/>
    <mergeCell ref="B71:G71"/>
    <mergeCell ref="J71:K71"/>
    <mergeCell ref="L71:M71"/>
    <mergeCell ref="B70:E70"/>
    <mergeCell ref="A59:I67"/>
    <mergeCell ref="E51:F51"/>
    <mergeCell ref="E52:F52"/>
    <mergeCell ref="E53:F53"/>
    <mergeCell ref="E54:F54"/>
    <mergeCell ref="E55:F55"/>
    <mergeCell ref="E40:F40"/>
    <mergeCell ref="E41:F41"/>
    <mergeCell ref="E42:F42"/>
    <mergeCell ref="E43:F43"/>
  </mergeCells>
  <conditionalFormatting sqref="A2 C2">
    <cfRule type="cellIs" dxfId="80" priority="1" operator="equal">
      <formula>"ERROR"</formula>
    </cfRule>
  </conditionalFormatting>
  <conditionalFormatting sqref="D101">
    <cfRule type="expression" dxfId="79" priority="27">
      <formula>$D$101="Abstención"</formula>
    </cfRule>
    <cfRule type="expression" dxfId="78" priority="28">
      <formula>$D$101="No Razonable"</formula>
    </cfRule>
    <cfRule type="expression" dxfId="77" priority="29">
      <formula>$D$101="Con Salvedades"</formula>
    </cfRule>
    <cfRule type="expression" dxfId="76" priority="30">
      <formula>$D$101="Razonable"</formula>
    </cfRule>
  </conditionalFormatting>
  <conditionalFormatting sqref="D102">
    <cfRule type="expression" dxfId="75" priority="23">
      <formula>$D$102="Abstención"</formula>
    </cfRule>
    <cfRule type="expression" dxfId="74" priority="24">
      <formula>$D$102="No Razonable"</formula>
    </cfRule>
    <cfRule type="expression" dxfId="73" priority="25">
      <formula>$D$102="Con Salvedades"</formula>
    </cfRule>
    <cfRule type="expression" dxfId="72" priority="26">
      <formula>$D$102="Razonable"</formula>
    </cfRule>
  </conditionalFormatting>
  <conditionalFormatting sqref="G101">
    <cfRule type="containsText" dxfId="71" priority="3" operator="containsText" text="Abstención">
      <formula>NOT(ISERROR(SEARCH("Abstención",G101)))</formula>
    </cfRule>
    <cfRule type="containsText" dxfId="70" priority="4" operator="containsText" text="No Razonable">
      <formula>NOT(ISERROR(SEARCH("No Razonable",G101)))</formula>
    </cfRule>
    <cfRule type="containsText" dxfId="69" priority="5" operator="containsText" text="Con Salvedades">
      <formula>NOT(ISERROR(SEARCH("Con Salvedades",G101)))</formula>
    </cfRule>
    <cfRule type="expression" dxfId="68" priority="6">
      <formula>$D$101="Razonable"</formula>
    </cfRule>
  </conditionalFormatting>
  <conditionalFormatting sqref="H13">
    <cfRule type="cellIs" dxfId="67" priority="31" operator="equal">
      <formula>"INEXISTENTE"</formula>
    </cfRule>
    <cfRule type="cellIs" dxfId="66" priority="32" operator="equal">
      <formula>"INADECUADO"</formula>
    </cfRule>
    <cfRule type="cellIs" dxfId="65" priority="33" operator="equal">
      <formula>"PARCIALMENTE ADECUADO"</formula>
    </cfRule>
    <cfRule type="cellIs" dxfId="64" priority="34" operator="equal">
      <formula>"ADECUADO"</formula>
    </cfRule>
    <cfRule type="cellIs" dxfId="63" priority="35" operator="equal">
      <formula>"ERROR"</formula>
    </cfRule>
  </conditionalFormatting>
  <dataValidations count="2">
    <dataValidation type="list" allowBlank="1" showInputMessage="1" showErrorMessage="1" sqref="L58" xr:uid="{00000000-0002-0000-0C00-000000000000}">
      <formula1>#REF!</formula1>
    </dataValidation>
    <dataValidation type="custom" allowBlank="1" showInputMessage="1" showErrorMessage="1" sqref="K33:K35 K23:K28 K31" xr:uid="{00000000-0002-0000-0C00-000001000000}">
      <formula1>#REF!&lt;=100%</formula1>
    </dataValidation>
  </dataValidations>
  <pageMargins left="0.7" right="0.7" top="0.75" bottom="0.75" header="0.3" footer="0.3"/>
  <pageSetup orientation="portrait" r:id="rId1"/>
  <ignoredErrors>
    <ignoredError sqref="H11 H9 H10" unlockedFormula="1"/>
  </ignoredError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C00-000002000000}">
          <x14:formula1>
            <xm:f>'C:\C:\Users\USER\Documents\Formatos Auditoria Financiera\[PVCGF-04-06 Procesos presupuesto de ingresos y de gastos o costos y gastos.xlsx]LISTAS'!#REF!</xm:f>
          </x14:formula1>
          <xm:sqref>L56</xm:sqref>
        </x14:dataValidation>
        <x14:dataValidation type="list" allowBlank="1" showInputMessage="1" showErrorMessage="1" xr:uid="{00000000-0002-0000-0C00-000003000000}">
          <x14:formula1>
            <xm:f>'LISTAS PPTO'!$T$3:$T$10</xm:f>
          </x14:formula1>
          <xm:sqref>D40:D55</xm:sqref>
        </x14:dataValidation>
        <x14:dataValidation type="list" allowBlank="1" showInputMessage="1" showErrorMessage="1" xr:uid="{00000000-0002-0000-0C00-000004000000}">
          <x14:formula1>
            <xm:f>'LISTAS PPTO'!$AJ$4:$AJ$77</xm:f>
          </x14:formula1>
          <xm:sqref>E40:F55</xm:sqref>
        </x14:dataValidation>
        <x14:dataValidation type="list" allowBlank="1" showInputMessage="1" showErrorMessage="1" xr:uid="{00000000-0002-0000-0C00-000005000000}">
          <x14:formula1>
            <xm:f>'LISTAS PPTO'!$U$3:$U$22</xm:f>
          </x14:formula1>
          <xm:sqref>G40:G55</xm:sqref>
        </x14:dataValidation>
        <x14:dataValidation type="list" allowBlank="1" showInputMessage="1" showErrorMessage="1" xr:uid="{00000000-0002-0000-0C00-000006000000}">
          <x14:formula1>
            <xm:f>'LISTAS PPTO'!$W$3:$W$13</xm:f>
          </x14:formula1>
          <xm:sqref>H41:H55</xm:sqref>
        </x14:dataValidation>
        <x14:dataValidation type="list" allowBlank="1" showInputMessage="1" showErrorMessage="1" xr:uid="{00000000-0002-0000-0C00-000007000000}">
          <x14:formula1>
            <xm:f>'LISTAS PPTO'!$V$3:$V$11</xm:f>
          </x14:formula1>
          <xm:sqref>E73:E80 M40:M55</xm:sqref>
        </x14:dataValidation>
        <x14:dataValidation type="list" allowBlank="1" showInputMessage="1" showErrorMessage="1" xr:uid="{00000000-0002-0000-0C00-000008000000}">
          <x14:formula1>
            <xm:f>'LISTAS PPTO'!$W$3:$W$14</xm:f>
          </x14:formula1>
          <xm:sqref>H40</xm:sqref>
        </x14:dataValidation>
        <x14:dataValidation type="list" allowBlank="1" showInputMessage="1" showErrorMessage="1" xr:uid="{00000000-0002-0000-0C00-000009000000}">
          <x14:formula1>
            <xm:f>'LISTAS PPTO'!$S$3:$S$26</xm:f>
          </x14:formula1>
          <xm:sqref>C40:C55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00B0F0"/>
  </sheetPr>
  <dimension ref="A2:AS622"/>
  <sheetViews>
    <sheetView zoomScaleNormal="100" workbookViewId="0">
      <selection activeCell="A2" sqref="A2"/>
    </sheetView>
  </sheetViews>
  <sheetFormatPr baseColWidth="10" defaultRowHeight="15" x14ac:dyDescent="0.2"/>
  <cols>
    <col min="1" max="1" width="5.42578125" style="947" customWidth="1"/>
    <col min="2" max="2" width="27.28515625" style="955" customWidth="1"/>
    <col min="3" max="3" width="31.28515625" style="955" customWidth="1"/>
    <col min="4" max="4" width="37.7109375" style="938" customWidth="1"/>
    <col min="5" max="5" width="40" style="938" customWidth="1"/>
    <col min="6" max="6" width="21.28515625" style="938" customWidth="1"/>
    <col min="7" max="7" width="14.85546875" style="938" customWidth="1"/>
    <col min="8" max="8" width="17" style="938" customWidth="1"/>
    <col min="9" max="9" width="27.140625" style="938" customWidth="1"/>
    <col min="10" max="10" width="24.42578125" style="938" customWidth="1"/>
    <col min="11" max="11" width="15.42578125" style="938" customWidth="1"/>
    <col min="12" max="12" width="30.7109375" style="953" customWidth="1"/>
    <col min="13" max="13" width="25.42578125" style="955" customWidth="1"/>
    <col min="14" max="14" width="15.42578125" style="955" customWidth="1"/>
    <col min="15" max="15" width="26.42578125" style="953" customWidth="1"/>
    <col min="16" max="16" width="23.140625" style="955" customWidth="1"/>
    <col min="17" max="17" width="15.42578125" style="955" customWidth="1"/>
    <col min="18" max="18" width="22" style="955" customWidth="1"/>
    <col min="19" max="19" width="19.5703125" style="955" customWidth="1"/>
    <col min="20" max="20" width="16.28515625" style="955" customWidth="1"/>
    <col min="21" max="21" width="15" style="956" customWidth="1"/>
    <col min="22" max="22" width="13.28515625" style="955" customWidth="1"/>
    <col min="23" max="23" width="35.7109375" style="955" customWidth="1"/>
    <col min="24" max="255" width="11.5703125" style="947"/>
    <col min="256" max="256" width="5.42578125" style="947" customWidth="1"/>
    <col min="257" max="257" width="34.42578125" style="947" customWidth="1"/>
    <col min="258" max="258" width="27.7109375" style="947" customWidth="1"/>
    <col min="259" max="259" width="18.140625" style="947" customWidth="1"/>
    <col min="260" max="260" width="24" style="947" customWidth="1"/>
    <col min="261" max="261" width="16" style="947" customWidth="1"/>
    <col min="262" max="262" width="16.140625" style="947" customWidth="1"/>
    <col min="263" max="263" width="15.7109375" style="947" customWidth="1"/>
    <col min="264" max="264" width="17.42578125" style="947" customWidth="1"/>
    <col min="265" max="266" width="16.7109375" style="947" customWidth="1"/>
    <col min="267" max="267" width="13.140625" style="947" customWidth="1"/>
    <col min="268" max="268" width="14" style="947" customWidth="1"/>
    <col min="269" max="269" width="17.28515625" style="947" customWidth="1"/>
    <col min="270" max="270" width="16.42578125" style="947" customWidth="1"/>
    <col min="271" max="272" width="15.42578125" style="947" customWidth="1"/>
    <col min="273" max="273" width="25.7109375" style="947" customWidth="1"/>
    <col min="274" max="274" width="31.7109375" style="947" customWidth="1"/>
    <col min="275" max="275" width="34.140625" style="947" customWidth="1"/>
    <col min="276" max="276" width="37.7109375" style="947" customWidth="1"/>
    <col min="277" max="277" width="48.7109375" style="947" customWidth="1"/>
    <col min="278" max="278" width="29.42578125" style="947" customWidth="1"/>
    <col min="279" max="511" width="11.5703125" style="947"/>
    <col min="512" max="512" width="5.42578125" style="947" customWidth="1"/>
    <col min="513" max="513" width="34.42578125" style="947" customWidth="1"/>
    <col min="514" max="514" width="27.7109375" style="947" customWidth="1"/>
    <col min="515" max="515" width="18.140625" style="947" customWidth="1"/>
    <col min="516" max="516" width="24" style="947" customWidth="1"/>
    <col min="517" max="517" width="16" style="947" customWidth="1"/>
    <col min="518" max="518" width="16.140625" style="947" customWidth="1"/>
    <col min="519" max="519" width="15.7109375" style="947" customWidth="1"/>
    <col min="520" max="520" width="17.42578125" style="947" customWidth="1"/>
    <col min="521" max="522" width="16.7109375" style="947" customWidth="1"/>
    <col min="523" max="523" width="13.140625" style="947" customWidth="1"/>
    <col min="524" max="524" width="14" style="947" customWidth="1"/>
    <col min="525" max="525" width="17.28515625" style="947" customWidth="1"/>
    <col min="526" max="526" width="16.42578125" style="947" customWidth="1"/>
    <col min="527" max="528" width="15.42578125" style="947" customWidth="1"/>
    <col min="529" max="529" width="25.7109375" style="947" customWidth="1"/>
    <col min="530" max="530" width="31.7109375" style="947" customWidth="1"/>
    <col min="531" max="531" width="34.140625" style="947" customWidth="1"/>
    <col min="532" max="532" width="37.7109375" style="947" customWidth="1"/>
    <col min="533" max="533" width="48.7109375" style="947" customWidth="1"/>
    <col min="534" max="534" width="29.42578125" style="947" customWidth="1"/>
    <col min="535" max="767" width="11.5703125" style="947"/>
    <col min="768" max="768" width="5.42578125" style="947" customWidth="1"/>
    <col min="769" max="769" width="34.42578125" style="947" customWidth="1"/>
    <col min="770" max="770" width="27.7109375" style="947" customWidth="1"/>
    <col min="771" max="771" width="18.140625" style="947" customWidth="1"/>
    <col min="772" max="772" width="24" style="947" customWidth="1"/>
    <col min="773" max="773" width="16" style="947" customWidth="1"/>
    <col min="774" max="774" width="16.140625" style="947" customWidth="1"/>
    <col min="775" max="775" width="15.7109375" style="947" customWidth="1"/>
    <col min="776" max="776" width="17.42578125" style="947" customWidth="1"/>
    <col min="777" max="778" width="16.7109375" style="947" customWidth="1"/>
    <col min="779" max="779" width="13.140625" style="947" customWidth="1"/>
    <col min="780" max="780" width="14" style="947" customWidth="1"/>
    <col min="781" max="781" width="17.28515625" style="947" customWidth="1"/>
    <col min="782" max="782" width="16.42578125" style="947" customWidth="1"/>
    <col min="783" max="784" width="15.42578125" style="947" customWidth="1"/>
    <col min="785" max="785" width="25.7109375" style="947" customWidth="1"/>
    <col min="786" max="786" width="31.7109375" style="947" customWidth="1"/>
    <col min="787" max="787" width="34.140625" style="947" customWidth="1"/>
    <col min="788" max="788" width="37.7109375" style="947" customWidth="1"/>
    <col min="789" max="789" width="48.7109375" style="947" customWidth="1"/>
    <col min="790" max="790" width="29.42578125" style="947" customWidth="1"/>
    <col min="791" max="1023" width="11.5703125" style="947"/>
    <col min="1024" max="1024" width="5.42578125" style="947" customWidth="1"/>
    <col min="1025" max="1025" width="34.42578125" style="947" customWidth="1"/>
    <col min="1026" max="1026" width="27.7109375" style="947" customWidth="1"/>
    <col min="1027" max="1027" width="18.140625" style="947" customWidth="1"/>
    <col min="1028" max="1028" width="24" style="947" customWidth="1"/>
    <col min="1029" max="1029" width="16" style="947" customWidth="1"/>
    <col min="1030" max="1030" width="16.140625" style="947" customWidth="1"/>
    <col min="1031" max="1031" width="15.7109375" style="947" customWidth="1"/>
    <col min="1032" max="1032" width="17.42578125" style="947" customWidth="1"/>
    <col min="1033" max="1034" width="16.7109375" style="947" customWidth="1"/>
    <col min="1035" max="1035" width="13.140625" style="947" customWidth="1"/>
    <col min="1036" max="1036" width="14" style="947" customWidth="1"/>
    <col min="1037" max="1037" width="17.28515625" style="947" customWidth="1"/>
    <col min="1038" max="1038" width="16.42578125" style="947" customWidth="1"/>
    <col min="1039" max="1040" width="15.42578125" style="947" customWidth="1"/>
    <col min="1041" max="1041" width="25.7109375" style="947" customWidth="1"/>
    <col min="1042" max="1042" width="31.7109375" style="947" customWidth="1"/>
    <col min="1043" max="1043" width="34.140625" style="947" customWidth="1"/>
    <col min="1044" max="1044" width="37.7109375" style="947" customWidth="1"/>
    <col min="1045" max="1045" width="48.7109375" style="947" customWidth="1"/>
    <col min="1046" max="1046" width="29.42578125" style="947" customWidth="1"/>
    <col min="1047" max="1279" width="11.5703125" style="947"/>
    <col min="1280" max="1280" width="5.42578125" style="947" customWidth="1"/>
    <col min="1281" max="1281" width="34.42578125" style="947" customWidth="1"/>
    <col min="1282" max="1282" width="27.7109375" style="947" customWidth="1"/>
    <col min="1283" max="1283" width="18.140625" style="947" customWidth="1"/>
    <col min="1284" max="1284" width="24" style="947" customWidth="1"/>
    <col min="1285" max="1285" width="16" style="947" customWidth="1"/>
    <col min="1286" max="1286" width="16.140625" style="947" customWidth="1"/>
    <col min="1287" max="1287" width="15.7109375" style="947" customWidth="1"/>
    <col min="1288" max="1288" width="17.42578125" style="947" customWidth="1"/>
    <col min="1289" max="1290" width="16.7109375" style="947" customWidth="1"/>
    <col min="1291" max="1291" width="13.140625" style="947" customWidth="1"/>
    <col min="1292" max="1292" width="14" style="947" customWidth="1"/>
    <col min="1293" max="1293" width="17.28515625" style="947" customWidth="1"/>
    <col min="1294" max="1294" width="16.42578125" style="947" customWidth="1"/>
    <col min="1295" max="1296" width="15.42578125" style="947" customWidth="1"/>
    <col min="1297" max="1297" width="25.7109375" style="947" customWidth="1"/>
    <col min="1298" max="1298" width="31.7109375" style="947" customWidth="1"/>
    <col min="1299" max="1299" width="34.140625" style="947" customWidth="1"/>
    <col min="1300" max="1300" width="37.7109375" style="947" customWidth="1"/>
    <col min="1301" max="1301" width="48.7109375" style="947" customWidth="1"/>
    <col min="1302" max="1302" width="29.42578125" style="947" customWidth="1"/>
    <col min="1303" max="1535" width="11.5703125" style="947"/>
    <col min="1536" max="1536" width="5.42578125" style="947" customWidth="1"/>
    <col min="1537" max="1537" width="34.42578125" style="947" customWidth="1"/>
    <col min="1538" max="1538" width="27.7109375" style="947" customWidth="1"/>
    <col min="1539" max="1539" width="18.140625" style="947" customWidth="1"/>
    <col min="1540" max="1540" width="24" style="947" customWidth="1"/>
    <col min="1541" max="1541" width="16" style="947" customWidth="1"/>
    <col min="1542" max="1542" width="16.140625" style="947" customWidth="1"/>
    <col min="1543" max="1543" width="15.7109375" style="947" customWidth="1"/>
    <col min="1544" max="1544" width="17.42578125" style="947" customWidth="1"/>
    <col min="1545" max="1546" width="16.7109375" style="947" customWidth="1"/>
    <col min="1547" max="1547" width="13.140625" style="947" customWidth="1"/>
    <col min="1548" max="1548" width="14" style="947" customWidth="1"/>
    <col min="1549" max="1549" width="17.28515625" style="947" customWidth="1"/>
    <col min="1550" max="1550" width="16.42578125" style="947" customWidth="1"/>
    <col min="1551" max="1552" width="15.42578125" style="947" customWidth="1"/>
    <col min="1553" max="1553" width="25.7109375" style="947" customWidth="1"/>
    <col min="1554" max="1554" width="31.7109375" style="947" customWidth="1"/>
    <col min="1555" max="1555" width="34.140625" style="947" customWidth="1"/>
    <col min="1556" max="1556" width="37.7109375" style="947" customWidth="1"/>
    <col min="1557" max="1557" width="48.7109375" style="947" customWidth="1"/>
    <col min="1558" max="1558" width="29.42578125" style="947" customWidth="1"/>
    <col min="1559" max="1791" width="11.5703125" style="947"/>
    <col min="1792" max="1792" width="5.42578125" style="947" customWidth="1"/>
    <col min="1793" max="1793" width="34.42578125" style="947" customWidth="1"/>
    <col min="1794" max="1794" width="27.7109375" style="947" customWidth="1"/>
    <col min="1795" max="1795" width="18.140625" style="947" customWidth="1"/>
    <col min="1796" max="1796" width="24" style="947" customWidth="1"/>
    <col min="1797" max="1797" width="16" style="947" customWidth="1"/>
    <col min="1798" max="1798" width="16.140625" style="947" customWidth="1"/>
    <col min="1799" max="1799" width="15.7109375" style="947" customWidth="1"/>
    <col min="1800" max="1800" width="17.42578125" style="947" customWidth="1"/>
    <col min="1801" max="1802" width="16.7109375" style="947" customWidth="1"/>
    <col min="1803" max="1803" width="13.140625" style="947" customWidth="1"/>
    <col min="1804" max="1804" width="14" style="947" customWidth="1"/>
    <col min="1805" max="1805" width="17.28515625" style="947" customWidth="1"/>
    <col min="1806" max="1806" width="16.42578125" style="947" customWidth="1"/>
    <col min="1807" max="1808" width="15.42578125" style="947" customWidth="1"/>
    <col min="1809" max="1809" width="25.7109375" style="947" customWidth="1"/>
    <col min="1810" max="1810" width="31.7109375" style="947" customWidth="1"/>
    <col min="1811" max="1811" width="34.140625" style="947" customWidth="1"/>
    <col min="1812" max="1812" width="37.7109375" style="947" customWidth="1"/>
    <col min="1813" max="1813" width="48.7109375" style="947" customWidth="1"/>
    <col min="1814" max="1814" width="29.42578125" style="947" customWidth="1"/>
    <col min="1815" max="2047" width="11.5703125" style="947"/>
    <col min="2048" max="2048" width="5.42578125" style="947" customWidth="1"/>
    <col min="2049" max="2049" width="34.42578125" style="947" customWidth="1"/>
    <col min="2050" max="2050" width="27.7109375" style="947" customWidth="1"/>
    <col min="2051" max="2051" width="18.140625" style="947" customWidth="1"/>
    <col min="2052" max="2052" width="24" style="947" customWidth="1"/>
    <col min="2053" max="2053" width="16" style="947" customWidth="1"/>
    <col min="2054" max="2054" width="16.140625" style="947" customWidth="1"/>
    <col min="2055" max="2055" width="15.7109375" style="947" customWidth="1"/>
    <col min="2056" max="2056" width="17.42578125" style="947" customWidth="1"/>
    <col min="2057" max="2058" width="16.7109375" style="947" customWidth="1"/>
    <col min="2059" max="2059" width="13.140625" style="947" customWidth="1"/>
    <col min="2060" max="2060" width="14" style="947" customWidth="1"/>
    <col min="2061" max="2061" width="17.28515625" style="947" customWidth="1"/>
    <col min="2062" max="2062" width="16.42578125" style="947" customWidth="1"/>
    <col min="2063" max="2064" width="15.42578125" style="947" customWidth="1"/>
    <col min="2065" max="2065" width="25.7109375" style="947" customWidth="1"/>
    <col min="2066" max="2066" width="31.7109375" style="947" customWidth="1"/>
    <col min="2067" max="2067" width="34.140625" style="947" customWidth="1"/>
    <col min="2068" max="2068" width="37.7109375" style="947" customWidth="1"/>
    <col min="2069" max="2069" width="48.7109375" style="947" customWidth="1"/>
    <col min="2070" max="2070" width="29.42578125" style="947" customWidth="1"/>
    <col min="2071" max="2303" width="11.5703125" style="947"/>
    <col min="2304" max="2304" width="5.42578125" style="947" customWidth="1"/>
    <col min="2305" max="2305" width="34.42578125" style="947" customWidth="1"/>
    <col min="2306" max="2306" width="27.7109375" style="947" customWidth="1"/>
    <col min="2307" max="2307" width="18.140625" style="947" customWidth="1"/>
    <col min="2308" max="2308" width="24" style="947" customWidth="1"/>
    <col min="2309" max="2309" width="16" style="947" customWidth="1"/>
    <col min="2310" max="2310" width="16.140625" style="947" customWidth="1"/>
    <col min="2311" max="2311" width="15.7109375" style="947" customWidth="1"/>
    <col min="2312" max="2312" width="17.42578125" style="947" customWidth="1"/>
    <col min="2313" max="2314" width="16.7109375" style="947" customWidth="1"/>
    <col min="2315" max="2315" width="13.140625" style="947" customWidth="1"/>
    <col min="2316" max="2316" width="14" style="947" customWidth="1"/>
    <col min="2317" max="2317" width="17.28515625" style="947" customWidth="1"/>
    <col min="2318" max="2318" width="16.42578125" style="947" customWidth="1"/>
    <col min="2319" max="2320" width="15.42578125" style="947" customWidth="1"/>
    <col min="2321" max="2321" width="25.7109375" style="947" customWidth="1"/>
    <col min="2322" max="2322" width="31.7109375" style="947" customWidth="1"/>
    <col min="2323" max="2323" width="34.140625" style="947" customWidth="1"/>
    <col min="2324" max="2324" width="37.7109375" style="947" customWidth="1"/>
    <col min="2325" max="2325" width="48.7109375" style="947" customWidth="1"/>
    <col min="2326" max="2326" width="29.42578125" style="947" customWidth="1"/>
    <col min="2327" max="2559" width="11.5703125" style="947"/>
    <col min="2560" max="2560" width="5.42578125" style="947" customWidth="1"/>
    <col min="2561" max="2561" width="34.42578125" style="947" customWidth="1"/>
    <col min="2562" max="2562" width="27.7109375" style="947" customWidth="1"/>
    <col min="2563" max="2563" width="18.140625" style="947" customWidth="1"/>
    <col min="2564" max="2564" width="24" style="947" customWidth="1"/>
    <col min="2565" max="2565" width="16" style="947" customWidth="1"/>
    <col min="2566" max="2566" width="16.140625" style="947" customWidth="1"/>
    <col min="2567" max="2567" width="15.7109375" style="947" customWidth="1"/>
    <col min="2568" max="2568" width="17.42578125" style="947" customWidth="1"/>
    <col min="2569" max="2570" width="16.7109375" style="947" customWidth="1"/>
    <col min="2571" max="2571" width="13.140625" style="947" customWidth="1"/>
    <col min="2572" max="2572" width="14" style="947" customWidth="1"/>
    <col min="2573" max="2573" width="17.28515625" style="947" customWidth="1"/>
    <col min="2574" max="2574" width="16.42578125" style="947" customWidth="1"/>
    <col min="2575" max="2576" width="15.42578125" style="947" customWidth="1"/>
    <col min="2577" max="2577" width="25.7109375" style="947" customWidth="1"/>
    <col min="2578" max="2578" width="31.7109375" style="947" customWidth="1"/>
    <col min="2579" max="2579" width="34.140625" style="947" customWidth="1"/>
    <col min="2580" max="2580" width="37.7109375" style="947" customWidth="1"/>
    <col min="2581" max="2581" width="48.7109375" style="947" customWidth="1"/>
    <col min="2582" max="2582" width="29.42578125" style="947" customWidth="1"/>
    <col min="2583" max="2815" width="11.5703125" style="947"/>
    <col min="2816" max="2816" width="5.42578125" style="947" customWidth="1"/>
    <col min="2817" max="2817" width="34.42578125" style="947" customWidth="1"/>
    <col min="2818" max="2818" width="27.7109375" style="947" customWidth="1"/>
    <col min="2819" max="2819" width="18.140625" style="947" customWidth="1"/>
    <col min="2820" max="2820" width="24" style="947" customWidth="1"/>
    <col min="2821" max="2821" width="16" style="947" customWidth="1"/>
    <col min="2822" max="2822" width="16.140625" style="947" customWidth="1"/>
    <col min="2823" max="2823" width="15.7109375" style="947" customWidth="1"/>
    <col min="2824" max="2824" width="17.42578125" style="947" customWidth="1"/>
    <col min="2825" max="2826" width="16.7109375" style="947" customWidth="1"/>
    <col min="2827" max="2827" width="13.140625" style="947" customWidth="1"/>
    <col min="2828" max="2828" width="14" style="947" customWidth="1"/>
    <col min="2829" max="2829" width="17.28515625" style="947" customWidth="1"/>
    <col min="2830" max="2830" width="16.42578125" style="947" customWidth="1"/>
    <col min="2831" max="2832" width="15.42578125" style="947" customWidth="1"/>
    <col min="2833" max="2833" width="25.7109375" style="947" customWidth="1"/>
    <col min="2834" max="2834" width="31.7109375" style="947" customWidth="1"/>
    <col min="2835" max="2835" width="34.140625" style="947" customWidth="1"/>
    <col min="2836" max="2836" width="37.7109375" style="947" customWidth="1"/>
    <col min="2837" max="2837" width="48.7109375" style="947" customWidth="1"/>
    <col min="2838" max="2838" width="29.42578125" style="947" customWidth="1"/>
    <col min="2839" max="3071" width="11.5703125" style="947"/>
    <col min="3072" max="3072" width="5.42578125" style="947" customWidth="1"/>
    <col min="3073" max="3073" width="34.42578125" style="947" customWidth="1"/>
    <col min="3074" max="3074" width="27.7109375" style="947" customWidth="1"/>
    <col min="3075" max="3075" width="18.140625" style="947" customWidth="1"/>
    <col min="3076" max="3076" width="24" style="947" customWidth="1"/>
    <col min="3077" max="3077" width="16" style="947" customWidth="1"/>
    <col min="3078" max="3078" width="16.140625" style="947" customWidth="1"/>
    <col min="3079" max="3079" width="15.7109375" style="947" customWidth="1"/>
    <col min="3080" max="3080" width="17.42578125" style="947" customWidth="1"/>
    <col min="3081" max="3082" width="16.7109375" style="947" customWidth="1"/>
    <col min="3083" max="3083" width="13.140625" style="947" customWidth="1"/>
    <col min="3084" max="3084" width="14" style="947" customWidth="1"/>
    <col min="3085" max="3085" width="17.28515625" style="947" customWidth="1"/>
    <col min="3086" max="3086" width="16.42578125" style="947" customWidth="1"/>
    <col min="3087" max="3088" width="15.42578125" style="947" customWidth="1"/>
    <col min="3089" max="3089" width="25.7109375" style="947" customWidth="1"/>
    <col min="3090" max="3090" width="31.7109375" style="947" customWidth="1"/>
    <col min="3091" max="3091" width="34.140625" style="947" customWidth="1"/>
    <col min="3092" max="3092" width="37.7109375" style="947" customWidth="1"/>
    <col min="3093" max="3093" width="48.7109375" style="947" customWidth="1"/>
    <col min="3094" max="3094" width="29.42578125" style="947" customWidth="1"/>
    <col min="3095" max="3327" width="11.5703125" style="947"/>
    <col min="3328" max="3328" width="5.42578125" style="947" customWidth="1"/>
    <col min="3329" max="3329" width="34.42578125" style="947" customWidth="1"/>
    <col min="3330" max="3330" width="27.7109375" style="947" customWidth="1"/>
    <col min="3331" max="3331" width="18.140625" style="947" customWidth="1"/>
    <col min="3332" max="3332" width="24" style="947" customWidth="1"/>
    <col min="3333" max="3333" width="16" style="947" customWidth="1"/>
    <col min="3334" max="3334" width="16.140625" style="947" customWidth="1"/>
    <col min="3335" max="3335" width="15.7109375" style="947" customWidth="1"/>
    <col min="3336" max="3336" width="17.42578125" style="947" customWidth="1"/>
    <col min="3337" max="3338" width="16.7109375" style="947" customWidth="1"/>
    <col min="3339" max="3339" width="13.140625" style="947" customWidth="1"/>
    <col min="3340" max="3340" width="14" style="947" customWidth="1"/>
    <col min="3341" max="3341" width="17.28515625" style="947" customWidth="1"/>
    <col min="3342" max="3342" width="16.42578125" style="947" customWidth="1"/>
    <col min="3343" max="3344" width="15.42578125" style="947" customWidth="1"/>
    <col min="3345" max="3345" width="25.7109375" style="947" customWidth="1"/>
    <col min="3346" max="3346" width="31.7109375" style="947" customWidth="1"/>
    <col min="3347" max="3347" width="34.140625" style="947" customWidth="1"/>
    <col min="3348" max="3348" width="37.7109375" style="947" customWidth="1"/>
    <col min="3349" max="3349" width="48.7109375" style="947" customWidth="1"/>
    <col min="3350" max="3350" width="29.42578125" style="947" customWidth="1"/>
    <col min="3351" max="3583" width="11.5703125" style="947"/>
    <col min="3584" max="3584" width="5.42578125" style="947" customWidth="1"/>
    <col min="3585" max="3585" width="34.42578125" style="947" customWidth="1"/>
    <col min="3586" max="3586" width="27.7109375" style="947" customWidth="1"/>
    <col min="3587" max="3587" width="18.140625" style="947" customWidth="1"/>
    <col min="3588" max="3588" width="24" style="947" customWidth="1"/>
    <col min="3589" max="3589" width="16" style="947" customWidth="1"/>
    <col min="3590" max="3590" width="16.140625" style="947" customWidth="1"/>
    <col min="3591" max="3591" width="15.7109375" style="947" customWidth="1"/>
    <col min="3592" max="3592" width="17.42578125" style="947" customWidth="1"/>
    <col min="3593" max="3594" width="16.7109375" style="947" customWidth="1"/>
    <col min="3595" max="3595" width="13.140625" style="947" customWidth="1"/>
    <col min="3596" max="3596" width="14" style="947" customWidth="1"/>
    <col min="3597" max="3597" width="17.28515625" style="947" customWidth="1"/>
    <col min="3598" max="3598" width="16.42578125" style="947" customWidth="1"/>
    <col min="3599" max="3600" width="15.42578125" style="947" customWidth="1"/>
    <col min="3601" max="3601" width="25.7109375" style="947" customWidth="1"/>
    <col min="3602" max="3602" width="31.7109375" style="947" customWidth="1"/>
    <col min="3603" max="3603" width="34.140625" style="947" customWidth="1"/>
    <col min="3604" max="3604" width="37.7109375" style="947" customWidth="1"/>
    <col min="3605" max="3605" width="48.7109375" style="947" customWidth="1"/>
    <col min="3606" max="3606" width="29.42578125" style="947" customWidth="1"/>
    <col min="3607" max="3839" width="11.5703125" style="947"/>
    <col min="3840" max="3840" width="5.42578125" style="947" customWidth="1"/>
    <col min="3841" max="3841" width="34.42578125" style="947" customWidth="1"/>
    <col min="3842" max="3842" width="27.7109375" style="947" customWidth="1"/>
    <col min="3843" max="3843" width="18.140625" style="947" customWidth="1"/>
    <col min="3844" max="3844" width="24" style="947" customWidth="1"/>
    <col min="3845" max="3845" width="16" style="947" customWidth="1"/>
    <col min="3846" max="3846" width="16.140625" style="947" customWidth="1"/>
    <col min="3847" max="3847" width="15.7109375" style="947" customWidth="1"/>
    <col min="3848" max="3848" width="17.42578125" style="947" customWidth="1"/>
    <col min="3849" max="3850" width="16.7109375" style="947" customWidth="1"/>
    <col min="3851" max="3851" width="13.140625" style="947" customWidth="1"/>
    <col min="3852" max="3852" width="14" style="947" customWidth="1"/>
    <col min="3853" max="3853" width="17.28515625" style="947" customWidth="1"/>
    <col min="3854" max="3854" width="16.42578125" style="947" customWidth="1"/>
    <col min="3855" max="3856" width="15.42578125" style="947" customWidth="1"/>
    <col min="3857" max="3857" width="25.7109375" style="947" customWidth="1"/>
    <col min="3858" max="3858" width="31.7109375" style="947" customWidth="1"/>
    <col min="3859" max="3859" width="34.140625" style="947" customWidth="1"/>
    <col min="3860" max="3860" width="37.7109375" style="947" customWidth="1"/>
    <col min="3861" max="3861" width="48.7109375" style="947" customWidth="1"/>
    <col min="3862" max="3862" width="29.42578125" style="947" customWidth="1"/>
    <col min="3863" max="4095" width="11.5703125" style="947"/>
    <col min="4096" max="4096" width="5.42578125" style="947" customWidth="1"/>
    <col min="4097" max="4097" width="34.42578125" style="947" customWidth="1"/>
    <col min="4098" max="4098" width="27.7109375" style="947" customWidth="1"/>
    <col min="4099" max="4099" width="18.140625" style="947" customWidth="1"/>
    <col min="4100" max="4100" width="24" style="947" customWidth="1"/>
    <col min="4101" max="4101" width="16" style="947" customWidth="1"/>
    <col min="4102" max="4102" width="16.140625" style="947" customWidth="1"/>
    <col min="4103" max="4103" width="15.7109375" style="947" customWidth="1"/>
    <col min="4104" max="4104" width="17.42578125" style="947" customWidth="1"/>
    <col min="4105" max="4106" width="16.7109375" style="947" customWidth="1"/>
    <col min="4107" max="4107" width="13.140625" style="947" customWidth="1"/>
    <col min="4108" max="4108" width="14" style="947" customWidth="1"/>
    <col min="4109" max="4109" width="17.28515625" style="947" customWidth="1"/>
    <col min="4110" max="4110" width="16.42578125" style="947" customWidth="1"/>
    <col min="4111" max="4112" width="15.42578125" style="947" customWidth="1"/>
    <col min="4113" max="4113" width="25.7109375" style="947" customWidth="1"/>
    <col min="4114" max="4114" width="31.7109375" style="947" customWidth="1"/>
    <col min="4115" max="4115" width="34.140625" style="947" customWidth="1"/>
    <col min="4116" max="4116" width="37.7109375" style="947" customWidth="1"/>
    <col min="4117" max="4117" width="48.7109375" style="947" customWidth="1"/>
    <col min="4118" max="4118" width="29.42578125" style="947" customWidth="1"/>
    <col min="4119" max="4351" width="11.5703125" style="947"/>
    <col min="4352" max="4352" width="5.42578125" style="947" customWidth="1"/>
    <col min="4353" max="4353" width="34.42578125" style="947" customWidth="1"/>
    <col min="4354" max="4354" width="27.7109375" style="947" customWidth="1"/>
    <col min="4355" max="4355" width="18.140625" style="947" customWidth="1"/>
    <col min="4356" max="4356" width="24" style="947" customWidth="1"/>
    <col min="4357" max="4357" width="16" style="947" customWidth="1"/>
    <col min="4358" max="4358" width="16.140625" style="947" customWidth="1"/>
    <col min="4359" max="4359" width="15.7109375" style="947" customWidth="1"/>
    <col min="4360" max="4360" width="17.42578125" style="947" customWidth="1"/>
    <col min="4361" max="4362" width="16.7109375" style="947" customWidth="1"/>
    <col min="4363" max="4363" width="13.140625" style="947" customWidth="1"/>
    <col min="4364" max="4364" width="14" style="947" customWidth="1"/>
    <col min="4365" max="4365" width="17.28515625" style="947" customWidth="1"/>
    <col min="4366" max="4366" width="16.42578125" style="947" customWidth="1"/>
    <col min="4367" max="4368" width="15.42578125" style="947" customWidth="1"/>
    <col min="4369" max="4369" width="25.7109375" style="947" customWidth="1"/>
    <col min="4370" max="4370" width="31.7109375" style="947" customWidth="1"/>
    <col min="4371" max="4371" width="34.140625" style="947" customWidth="1"/>
    <col min="4372" max="4372" width="37.7109375" style="947" customWidth="1"/>
    <col min="4373" max="4373" width="48.7109375" style="947" customWidth="1"/>
    <col min="4374" max="4374" width="29.42578125" style="947" customWidth="1"/>
    <col min="4375" max="4607" width="11.5703125" style="947"/>
    <col min="4608" max="4608" width="5.42578125" style="947" customWidth="1"/>
    <col min="4609" max="4609" width="34.42578125" style="947" customWidth="1"/>
    <col min="4610" max="4610" width="27.7109375" style="947" customWidth="1"/>
    <col min="4611" max="4611" width="18.140625" style="947" customWidth="1"/>
    <col min="4612" max="4612" width="24" style="947" customWidth="1"/>
    <col min="4613" max="4613" width="16" style="947" customWidth="1"/>
    <col min="4614" max="4614" width="16.140625" style="947" customWidth="1"/>
    <col min="4615" max="4615" width="15.7109375" style="947" customWidth="1"/>
    <col min="4616" max="4616" width="17.42578125" style="947" customWidth="1"/>
    <col min="4617" max="4618" width="16.7109375" style="947" customWidth="1"/>
    <col min="4619" max="4619" width="13.140625" style="947" customWidth="1"/>
    <col min="4620" max="4620" width="14" style="947" customWidth="1"/>
    <col min="4621" max="4621" width="17.28515625" style="947" customWidth="1"/>
    <col min="4622" max="4622" width="16.42578125" style="947" customWidth="1"/>
    <col min="4623" max="4624" width="15.42578125" style="947" customWidth="1"/>
    <col min="4625" max="4625" width="25.7109375" style="947" customWidth="1"/>
    <col min="4626" max="4626" width="31.7109375" style="947" customWidth="1"/>
    <col min="4627" max="4627" width="34.140625" style="947" customWidth="1"/>
    <col min="4628" max="4628" width="37.7109375" style="947" customWidth="1"/>
    <col min="4629" max="4629" width="48.7109375" style="947" customWidth="1"/>
    <col min="4630" max="4630" width="29.42578125" style="947" customWidth="1"/>
    <col min="4631" max="4863" width="11.5703125" style="947"/>
    <col min="4864" max="4864" width="5.42578125" style="947" customWidth="1"/>
    <col min="4865" max="4865" width="34.42578125" style="947" customWidth="1"/>
    <col min="4866" max="4866" width="27.7109375" style="947" customWidth="1"/>
    <col min="4867" max="4867" width="18.140625" style="947" customWidth="1"/>
    <col min="4868" max="4868" width="24" style="947" customWidth="1"/>
    <col min="4869" max="4869" width="16" style="947" customWidth="1"/>
    <col min="4870" max="4870" width="16.140625" style="947" customWidth="1"/>
    <col min="4871" max="4871" width="15.7109375" style="947" customWidth="1"/>
    <col min="4872" max="4872" width="17.42578125" style="947" customWidth="1"/>
    <col min="4873" max="4874" width="16.7109375" style="947" customWidth="1"/>
    <col min="4875" max="4875" width="13.140625" style="947" customWidth="1"/>
    <col min="4876" max="4876" width="14" style="947" customWidth="1"/>
    <col min="4877" max="4877" width="17.28515625" style="947" customWidth="1"/>
    <col min="4878" max="4878" width="16.42578125" style="947" customWidth="1"/>
    <col min="4879" max="4880" width="15.42578125" style="947" customWidth="1"/>
    <col min="4881" max="4881" width="25.7109375" style="947" customWidth="1"/>
    <col min="4882" max="4882" width="31.7109375" style="947" customWidth="1"/>
    <col min="4883" max="4883" width="34.140625" style="947" customWidth="1"/>
    <col min="4884" max="4884" width="37.7109375" style="947" customWidth="1"/>
    <col min="4885" max="4885" width="48.7109375" style="947" customWidth="1"/>
    <col min="4886" max="4886" width="29.42578125" style="947" customWidth="1"/>
    <col min="4887" max="5119" width="11.5703125" style="947"/>
    <col min="5120" max="5120" width="5.42578125" style="947" customWidth="1"/>
    <col min="5121" max="5121" width="34.42578125" style="947" customWidth="1"/>
    <col min="5122" max="5122" width="27.7109375" style="947" customWidth="1"/>
    <col min="5123" max="5123" width="18.140625" style="947" customWidth="1"/>
    <col min="5124" max="5124" width="24" style="947" customWidth="1"/>
    <col min="5125" max="5125" width="16" style="947" customWidth="1"/>
    <col min="5126" max="5126" width="16.140625" style="947" customWidth="1"/>
    <col min="5127" max="5127" width="15.7109375" style="947" customWidth="1"/>
    <col min="5128" max="5128" width="17.42578125" style="947" customWidth="1"/>
    <col min="5129" max="5130" width="16.7109375" style="947" customWidth="1"/>
    <col min="5131" max="5131" width="13.140625" style="947" customWidth="1"/>
    <col min="5132" max="5132" width="14" style="947" customWidth="1"/>
    <col min="5133" max="5133" width="17.28515625" style="947" customWidth="1"/>
    <col min="5134" max="5134" width="16.42578125" style="947" customWidth="1"/>
    <col min="5135" max="5136" width="15.42578125" style="947" customWidth="1"/>
    <col min="5137" max="5137" width="25.7109375" style="947" customWidth="1"/>
    <col min="5138" max="5138" width="31.7109375" style="947" customWidth="1"/>
    <col min="5139" max="5139" width="34.140625" style="947" customWidth="1"/>
    <col min="5140" max="5140" width="37.7109375" style="947" customWidth="1"/>
    <col min="5141" max="5141" width="48.7109375" style="947" customWidth="1"/>
    <col min="5142" max="5142" width="29.42578125" style="947" customWidth="1"/>
    <col min="5143" max="5375" width="11.5703125" style="947"/>
    <col min="5376" max="5376" width="5.42578125" style="947" customWidth="1"/>
    <col min="5377" max="5377" width="34.42578125" style="947" customWidth="1"/>
    <col min="5378" max="5378" width="27.7109375" style="947" customWidth="1"/>
    <col min="5379" max="5379" width="18.140625" style="947" customWidth="1"/>
    <col min="5380" max="5380" width="24" style="947" customWidth="1"/>
    <col min="5381" max="5381" width="16" style="947" customWidth="1"/>
    <col min="5382" max="5382" width="16.140625" style="947" customWidth="1"/>
    <col min="5383" max="5383" width="15.7109375" style="947" customWidth="1"/>
    <col min="5384" max="5384" width="17.42578125" style="947" customWidth="1"/>
    <col min="5385" max="5386" width="16.7109375" style="947" customWidth="1"/>
    <col min="5387" max="5387" width="13.140625" style="947" customWidth="1"/>
    <col min="5388" max="5388" width="14" style="947" customWidth="1"/>
    <col min="5389" max="5389" width="17.28515625" style="947" customWidth="1"/>
    <col min="5390" max="5390" width="16.42578125" style="947" customWidth="1"/>
    <col min="5391" max="5392" width="15.42578125" style="947" customWidth="1"/>
    <col min="5393" max="5393" width="25.7109375" style="947" customWidth="1"/>
    <col min="5394" max="5394" width="31.7109375" style="947" customWidth="1"/>
    <col min="5395" max="5395" width="34.140625" style="947" customWidth="1"/>
    <col min="5396" max="5396" width="37.7109375" style="947" customWidth="1"/>
    <col min="5397" max="5397" width="48.7109375" style="947" customWidth="1"/>
    <col min="5398" max="5398" width="29.42578125" style="947" customWidth="1"/>
    <col min="5399" max="5631" width="11.5703125" style="947"/>
    <col min="5632" max="5632" width="5.42578125" style="947" customWidth="1"/>
    <col min="5633" max="5633" width="34.42578125" style="947" customWidth="1"/>
    <col min="5634" max="5634" width="27.7109375" style="947" customWidth="1"/>
    <col min="5635" max="5635" width="18.140625" style="947" customWidth="1"/>
    <col min="5636" max="5636" width="24" style="947" customWidth="1"/>
    <col min="5637" max="5637" width="16" style="947" customWidth="1"/>
    <col min="5638" max="5638" width="16.140625" style="947" customWidth="1"/>
    <col min="5639" max="5639" width="15.7109375" style="947" customWidth="1"/>
    <col min="5640" max="5640" width="17.42578125" style="947" customWidth="1"/>
    <col min="5641" max="5642" width="16.7109375" style="947" customWidth="1"/>
    <col min="5643" max="5643" width="13.140625" style="947" customWidth="1"/>
    <col min="5644" max="5644" width="14" style="947" customWidth="1"/>
    <col min="5645" max="5645" width="17.28515625" style="947" customWidth="1"/>
    <col min="5646" max="5646" width="16.42578125" style="947" customWidth="1"/>
    <col min="5647" max="5648" width="15.42578125" style="947" customWidth="1"/>
    <col min="5649" max="5649" width="25.7109375" style="947" customWidth="1"/>
    <col min="5650" max="5650" width="31.7109375" style="947" customWidth="1"/>
    <col min="5651" max="5651" width="34.140625" style="947" customWidth="1"/>
    <col min="5652" max="5652" width="37.7109375" style="947" customWidth="1"/>
    <col min="5653" max="5653" width="48.7109375" style="947" customWidth="1"/>
    <col min="5654" max="5654" width="29.42578125" style="947" customWidth="1"/>
    <col min="5655" max="5887" width="11.5703125" style="947"/>
    <col min="5888" max="5888" width="5.42578125" style="947" customWidth="1"/>
    <col min="5889" max="5889" width="34.42578125" style="947" customWidth="1"/>
    <col min="5890" max="5890" width="27.7109375" style="947" customWidth="1"/>
    <col min="5891" max="5891" width="18.140625" style="947" customWidth="1"/>
    <col min="5892" max="5892" width="24" style="947" customWidth="1"/>
    <col min="5893" max="5893" width="16" style="947" customWidth="1"/>
    <col min="5894" max="5894" width="16.140625" style="947" customWidth="1"/>
    <col min="5895" max="5895" width="15.7109375" style="947" customWidth="1"/>
    <col min="5896" max="5896" width="17.42578125" style="947" customWidth="1"/>
    <col min="5897" max="5898" width="16.7109375" style="947" customWidth="1"/>
    <col min="5899" max="5899" width="13.140625" style="947" customWidth="1"/>
    <col min="5900" max="5900" width="14" style="947" customWidth="1"/>
    <col min="5901" max="5901" width="17.28515625" style="947" customWidth="1"/>
    <col min="5902" max="5902" width="16.42578125" style="947" customWidth="1"/>
    <col min="5903" max="5904" width="15.42578125" style="947" customWidth="1"/>
    <col min="5905" max="5905" width="25.7109375" style="947" customWidth="1"/>
    <col min="5906" max="5906" width="31.7109375" style="947" customWidth="1"/>
    <col min="5907" max="5907" width="34.140625" style="947" customWidth="1"/>
    <col min="5908" max="5908" width="37.7109375" style="947" customWidth="1"/>
    <col min="5909" max="5909" width="48.7109375" style="947" customWidth="1"/>
    <col min="5910" max="5910" width="29.42578125" style="947" customWidth="1"/>
    <col min="5911" max="6143" width="11.5703125" style="947"/>
    <col min="6144" max="6144" width="5.42578125" style="947" customWidth="1"/>
    <col min="6145" max="6145" width="34.42578125" style="947" customWidth="1"/>
    <col min="6146" max="6146" width="27.7109375" style="947" customWidth="1"/>
    <col min="6147" max="6147" width="18.140625" style="947" customWidth="1"/>
    <col min="6148" max="6148" width="24" style="947" customWidth="1"/>
    <col min="6149" max="6149" width="16" style="947" customWidth="1"/>
    <col min="6150" max="6150" width="16.140625" style="947" customWidth="1"/>
    <col min="6151" max="6151" width="15.7109375" style="947" customWidth="1"/>
    <col min="6152" max="6152" width="17.42578125" style="947" customWidth="1"/>
    <col min="6153" max="6154" width="16.7109375" style="947" customWidth="1"/>
    <col min="6155" max="6155" width="13.140625" style="947" customWidth="1"/>
    <col min="6156" max="6156" width="14" style="947" customWidth="1"/>
    <col min="6157" max="6157" width="17.28515625" style="947" customWidth="1"/>
    <col min="6158" max="6158" width="16.42578125" style="947" customWidth="1"/>
    <col min="6159" max="6160" width="15.42578125" style="947" customWidth="1"/>
    <col min="6161" max="6161" width="25.7109375" style="947" customWidth="1"/>
    <col min="6162" max="6162" width="31.7109375" style="947" customWidth="1"/>
    <col min="6163" max="6163" width="34.140625" style="947" customWidth="1"/>
    <col min="6164" max="6164" width="37.7109375" style="947" customWidth="1"/>
    <col min="6165" max="6165" width="48.7109375" style="947" customWidth="1"/>
    <col min="6166" max="6166" width="29.42578125" style="947" customWidth="1"/>
    <col min="6167" max="6399" width="11.5703125" style="947"/>
    <col min="6400" max="6400" width="5.42578125" style="947" customWidth="1"/>
    <col min="6401" max="6401" width="34.42578125" style="947" customWidth="1"/>
    <col min="6402" max="6402" width="27.7109375" style="947" customWidth="1"/>
    <col min="6403" max="6403" width="18.140625" style="947" customWidth="1"/>
    <col min="6404" max="6404" width="24" style="947" customWidth="1"/>
    <col min="6405" max="6405" width="16" style="947" customWidth="1"/>
    <col min="6406" max="6406" width="16.140625" style="947" customWidth="1"/>
    <col min="6407" max="6407" width="15.7109375" style="947" customWidth="1"/>
    <col min="6408" max="6408" width="17.42578125" style="947" customWidth="1"/>
    <col min="6409" max="6410" width="16.7109375" style="947" customWidth="1"/>
    <col min="6411" max="6411" width="13.140625" style="947" customWidth="1"/>
    <col min="6412" max="6412" width="14" style="947" customWidth="1"/>
    <col min="6413" max="6413" width="17.28515625" style="947" customWidth="1"/>
    <col min="6414" max="6414" width="16.42578125" style="947" customWidth="1"/>
    <col min="6415" max="6416" width="15.42578125" style="947" customWidth="1"/>
    <col min="6417" max="6417" width="25.7109375" style="947" customWidth="1"/>
    <col min="6418" max="6418" width="31.7109375" style="947" customWidth="1"/>
    <col min="6419" max="6419" width="34.140625" style="947" customWidth="1"/>
    <col min="6420" max="6420" width="37.7109375" style="947" customWidth="1"/>
    <col min="6421" max="6421" width="48.7109375" style="947" customWidth="1"/>
    <col min="6422" max="6422" width="29.42578125" style="947" customWidth="1"/>
    <col min="6423" max="6655" width="11.5703125" style="947"/>
    <col min="6656" max="6656" width="5.42578125" style="947" customWidth="1"/>
    <col min="6657" max="6657" width="34.42578125" style="947" customWidth="1"/>
    <col min="6658" max="6658" width="27.7109375" style="947" customWidth="1"/>
    <col min="6659" max="6659" width="18.140625" style="947" customWidth="1"/>
    <col min="6660" max="6660" width="24" style="947" customWidth="1"/>
    <col min="6661" max="6661" width="16" style="947" customWidth="1"/>
    <col min="6662" max="6662" width="16.140625" style="947" customWidth="1"/>
    <col min="6663" max="6663" width="15.7109375" style="947" customWidth="1"/>
    <col min="6664" max="6664" width="17.42578125" style="947" customWidth="1"/>
    <col min="6665" max="6666" width="16.7109375" style="947" customWidth="1"/>
    <col min="6667" max="6667" width="13.140625" style="947" customWidth="1"/>
    <col min="6668" max="6668" width="14" style="947" customWidth="1"/>
    <col min="6669" max="6669" width="17.28515625" style="947" customWidth="1"/>
    <col min="6670" max="6670" width="16.42578125" style="947" customWidth="1"/>
    <col min="6671" max="6672" width="15.42578125" style="947" customWidth="1"/>
    <col min="6673" max="6673" width="25.7109375" style="947" customWidth="1"/>
    <col min="6674" max="6674" width="31.7109375" style="947" customWidth="1"/>
    <col min="6675" max="6675" width="34.140625" style="947" customWidth="1"/>
    <col min="6676" max="6676" width="37.7109375" style="947" customWidth="1"/>
    <col min="6677" max="6677" width="48.7109375" style="947" customWidth="1"/>
    <col min="6678" max="6678" width="29.42578125" style="947" customWidth="1"/>
    <col min="6679" max="6911" width="11.5703125" style="947"/>
    <col min="6912" max="6912" width="5.42578125" style="947" customWidth="1"/>
    <col min="6913" max="6913" width="34.42578125" style="947" customWidth="1"/>
    <col min="6914" max="6914" width="27.7109375" style="947" customWidth="1"/>
    <col min="6915" max="6915" width="18.140625" style="947" customWidth="1"/>
    <col min="6916" max="6916" width="24" style="947" customWidth="1"/>
    <col min="6917" max="6917" width="16" style="947" customWidth="1"/>
    <col min="6918" max="6918" width="16.140625" style="947" customWidth="1"/>
    <col min="6919" max="6919" width="15.7109375" style="947" customWidth="1"/>
    <col min="6920" max="6920" width="17.42578125" style="947" customWidth="1"/>
    <col min="6921" max="6922" width="16.7109375" style="947" customWidth="1"/>
    <col min="6923" max="6923" width="13.140625" style="947" customWidth="1"/>
    <col min="6924" max="6924" width="14" style="947" customWidth="1"/>
    <col min="6925" max="6925" width="17.28515625" style="947" customWidth="1"/>
    <col min="6926" max="6926" width="16.42578125" style="947" customWidth="1"/>
    <col min="6927" max="6928" width="15.42578125" style="947" customWidth="1"/>
    <col min="6929" max="6929" width="25.7109375" style="947" customWidth="1"/>
    <col min="6930" max="6930" width="31.7109375" style="947" customWidth="1"/>
    <col min="6931" max="6931" width="34.140625" style="947" customWidth="1"/>
    <col min="6932" max="6932" width="37.7109375" style="947" customWidth="1"/>
    <col min="6933" max="6933" width="48.7109375" style="947" customWidth="1"/>
    <col min="6934" max="6934" width="29.42578125" style="947" customWidth="1"/>
    <col min="6935" max="7167" width="11.5703125" style="947"/>
    <col min="7168" max="7168" width="5.42578125" style="947" customWidth="1"/>
    <col min="7169" max="7169" width="34.42578125" style="947" customWidth="1"/>
    <col min="7170" max="7170" width="27.7109375" style="947" customWidth="1"/>
    <col min="7171" max="7171" width="18.140625" style="947" customWidth="1"/>
    <col min="7172" max="7172" width="24" style="947" customWidth="1"/>
    <col min="7173" max="7173" width="16" style="947" customWidth="1"/>
    <col min="7174" max="7174" width="16.140625" style="947" customWidth="1"/>
    <col min="7175" max="7175" width="15.7109375" style="947" customWidth="1"/>
    <col min="7176" max="7176" width="17.42578125" style="947" customWidth="1"/>
    <col min="7177" max="7178" width="16.7109375" style="947" customWidth="1"/>
    <col min="7179" max="7179" width="13.140625" style="947" customWidth="1"/>
    <col min="7180" max="7180" width="14" style="947" customWidth="1"/>
    <col min="7181" max="7181" width="17.28515625" style="947" customWidth="1"/>
    <col min="7182" max="7182" width="16.42578125" style="947" customWidth="1"/>
    <col min="7183" max="7184" width="15.42578125" style="947" customWidth="1"/>
    <col min="7185" max="7185" width="25.7109375" style="947" customWidth="1"/>
    <col min="7186" max="7186" width="31.7109375" style="947" customWidth="1"/>
    <col min="7187" max="7187" width="34.140625" style="947" customWidth="1"/>
    <col min="7188" max="7188" width="37.7109375" style="947" customWidth="1"/>
    <col min="7189" max="7189" width="48.7109375" style="947" customWidth="1"/>
    <col min="7190" max="7190" width="29.42578125" style="947" customWidth="1"/>
    <col min="7191" max="7423" width="11.5703125" style="947"/>
    <col min="7424" max="7424" width="5.42578125" style="947" customWidth="1"/>
    <col min="7425" max="7425" width="34.42578125" style="947" customWidth="1"/>
    <col min="7426" max="7426" width="27.7109375" style="947" customWidth="1"/>
    <col min="7427" max="7427" width="18.140625" style="947" customWidth="1"/>
    <col min="7428" max="7428" width="24" style="947" customWidth="1"/>
    <col min="7429" max="7429" width="16" style="947" customWidth="1"/>
    <col min="7430" max="7430" width="16.140625" style="947" customWidth="1"/>
    <col min="7431" max="7431" width="15.7109375" style="947" customWidth="1"/>
    <col min="7432" max="7432" width="17.42578125" style="947" customWidth="1"/>
    <col min="7433" max="7434" width="16.7109375" style="947" customWidth="1"/>
    <col min="7435" max="7435" width="13.140625" style="947" customWidth="1"/>
    <col min="7436" max="7436" width="14" style="947" customWidth="1"/>
    <col min="7437" max="7437" width="17.28515625" style="947" customWidth="1"/>
    <col min="7438" max="7438" width="16.42578125" style="947" customWidth="1"/>
    <col min="7439" max="7440" width="15.42578125" style="947" customWidth="1"/>
    <col min="7441" max="7441" width="25.7109375" style="947" customWidth="1"/>
    <col min="7442" max="7442" width="31.7109375" style="947" customWidth="1"/>
    <col min="7443" max="7443" width="34.140625" style="947" customWidth="1"/>
    <col min="7444" max="7444" width="37.7109375" style="947" customWidth="1"/>
    <col min="7445" max="7445" width="48.7109375" style="947" customWidth="1"/>
    <col min="7446" max="7446" width="29.42578125" style="947" customWidth="1"/>
    <col min="7447" max="7679" width="11.5703125" style="947"/>
    <col min="7680" max="7680" width="5.42578125" style="947" customWidth="1"/>
    <col min="7681" max="7681" width="34.42578125" style="947" customWidth="1"/>
    <col min="7682" max="7682" width="27.7109375" style="947" customWidth="1"/>
    <col min="7683" max="7683" width="18.140625" style="947" customWidth="1"/>
    <col min="7684" max="7684" width="24" style="947" customWidth="1"/>
    <col min="7685" max="7685" width="16" style="947" customWidth="1"/>
    <col min="7686" max="7686" width="16.140625" style="947" customWidth="1"/>
    <col min="7687" max="7687" width="15.7109375" style="947" customWidth="1"/>
    <col min="7688" max="7688" width="17.42578125" style="947" customWidth="1"/>
    <col min="7689" max="7690" width="16.7109375" style="947" customWidth="1"/>
    <col min="7691" max="7691" width="13.140625" style="947" customWidth="1"/>
    <col min="7692" max="7692" width="14" style="947" customWidth="1"/>
    <col min="7693" max="7693" width="17.28515625" style="947" customWidth="1"/>
    <col min="7694" max="7694" width="16.42578125" style="947" customWidth="1"/>
    <col min="7695" max="7696" width="15.42578125" style="947" customWidth="1"/>
    <col min="7697" max="7697" width="25.7109375" style="947" customWidth="1"/>
    <col min="7698" max="7698" width="31.7109375" style="947" customWidth="1"/>
    <col min="7699" max="7699" width="34.140625" style="947" customWidth="1"/>
    <col min="7700" max="7700" width="37.7109375" style="947" customWidth="1"/>
    <col min="7701" max="7701" width="48.7109375" style="947" customWidth="1"/>
    <col min="7702" max="7702" width="29.42578125" style="947" customWidth="1"/>
    <col min="7703" max="7935" width="11.5703125" style="947"/>
    <col min="7936" max="7936" width="5.42578125" style="947" customWidth="1"/>
    <col min="7937" max="7937" width="34.42578125" style="947" customWidth="1"/>
    <col min="7938" max="7938" width="27.7109375" style="947" customWidth="1"/>
    <col min="7939" max="7939" width="18.140625" style="947" customWidth="1"/>
    <col min="7940" max="7940" width="24" style="947" customWidth="1"/>
    <col min="7941" max="7941" width="16" style="947" customWidth="1"/>
    <col min="7942" max="7942" width="16.140625" style="947" customWidth="1"/>
    <col min="7943" max="7943" width="15.7109375" style="947" customWidth="1"/>
    <col min="7944" max="7944" width="17.42578125" style="947" customWidth="1"/>
    <col min="7945" max="7946" width="16.7109375" style="947" customWidth="1"/>
    <col min="7947" max="7947" width="13.140625" style="947" customWidth="1"/>
    <col min="7948" max="7948" width="14" style="947" customWidth="1"/>
    <col min="7949" max="7949" width="17.28515625" style="947" customWidth="1"/>
    <col min="7950" max="7950" width="16.42578125" style="947" customWidth="1"/>
    <col min="7951" max="7952" width="15.42578125" style="947" customWidth="1"/>
    <col min="7953" max="7953" width="25.7109375" style="947" customWidth="1"/>
    <col min="7954" max="7954" width="31.7109375" style="947" customWidth="1"/>
    <col min="7955" max="7955" width="34.140625" style="947" customWidth="1"/>
    <col min="7956" max="7956" width="37.7109375" style="947" customWidth="1"/>
    <col min="7957" max="7957" width="48.7109375" style="947" customWidth="1"/>
    <col min="7958" max="7958" width="29.42578125" style="947" customWidth="1"/>
    <col min="7959" max="8191" width="11.5703125" style="947"/>
    <col min="8192" max="8192" width="5.42578125" style="947" customWidth="1"/>
    <col min="8193" max="8193" width="34.42578125" style="947" customWidth="1"/>
    <col min="8194" max="8194" width="27.7109375" style="947" customWidth="1"/>
    <col min="8195" max="8195" width="18.140625" style="947" customWidth="1"/>
    <col min="8196" max="8196" width="24" style="947" customWidth="1"/>
    <col min="8197" max="8197" width="16" style="947" customWidth="1"/>
    <col min="8198" max="8198" width="16.140625" style="947" customWidth="1"/>
    <col min="8199" max="8199" width="15.7109375" style="947" customWidth="1"/>
    <col min="8200" max="8200" width="17.42578125" style="947" customWidth="1"/>
    <col min="8201" max="8202" width="16.7109375" style="947" customWidth="1"/>
    <col min="8203" max="8203" width="13.140625" style="947" customWidth="1"/>
    <col min="8204" max="8204" width="14" style="947" customWidth="1"/>
    <col min="8205" max="8205" width="17.28515625" style="947" customWidth="1"/>
    <col min="8206" max="8206" width="16.42578125" style="947" customWidth="1"/>
    <col min="8207" max="8208" width="15.42578125" style="947" customWidth="1"/>
    <col min="8209" max="8209" width="25.7109375" style="947" customWidth="1"/>
    <col min="8210" max="8210" width="31.7109375" style="947" customWidth="1"/>
    <col min="8211" max="8211" width="34.140625" style="947" customWidth="1"/>
    <col min="8212" max="8212" width="37.7109375" style="947" customWidth="1"/>
    <col min="8213" max="8213" width="48.7109375" style="947" customWidth="1"/>
    <col min="8214" max="8214" width="29.42578125" style="947" customWidth="1"/>
    <col min="8215" max="8447" width="11.5703125" style="947"/>
    <col min="8448" max="8448" width="5.42578125" style="947" customWidth="1"/>
    <col min="8449" max="8449" width="34.42578125" style="947" customWidth="1"/>
    <col min="8450" max="8450" width="27.7109375" style="947" customWidth="1"/>
    <col min="8451" max="8451" width="18.140625" style="947" customWidth="1"/>
    <col min="8452" max="8452" width="24" style="947" customWidth="1"/>
    <col min="8453" max="8453" width="16" style="947" customWidth="1"/>
    <col min="8454" max="8454" width="16.140625" style="947" customWidth="1"/>
    <col min="8455" max="8455" width="15.7109375" style="947" customWidth="1"/>
    <col min="8456" max="8456" width="17.42578125" style="947" customWidth="1"/>
    <col min="8457" max="8458" width="16.7109375" style="947" customWidth="1"/>
    <col min="8459" max="8459" width="13.140625" style="947" customWidth="1"/>
    <col min="8460" max="8460" width="14" style="947" customWidth="1"/>
    <col min="8461" max="8461" width="17.28515625" style="947" customWidth="1"/>
    <col min="8462" max="8462" width="16.42578125" style="947" customWidth="1"/>
    <col min="8463" max="8464" width="15.42578125" style="947" customWidth="1"/>
    <col min="8465" max="8465" width="25.7109375" style="947" customWidth="1"/>
    <col min="8466" max="8466" width="31.7109375" style="947" customWidth="1"/>
    <col min="8467" max="8467" width="34.140625" style="947" customWidth="1"/>
    <col min="8468" max="8468" width="37.7109375" style="947" customWidth="1"/>
    <col min="8469" max="8469" width="48.7109375" style="947" customWidth="1"/>
    <col min="8470" max="8470" width="29.42578125" style="947" customWidth="1"/>
    <col min="8471" max="8703" width="11.5703125" style="947"/>
    <col min="8704" max="8704" width="5.42578125" style="947" customWidth="1"/>
    <col min="8705" max="8705" width="34.42578125" style="947" customWidth="1"/>
    <col min="8706" max="8706" width="27.7109375" style="947" customWidth="1"/>
    <col min="8707" max="8707" width="18.140625" style="947" customWidth="1"/>
    <col min="8708" max="8708" width="24" style="947" customWidth="1"/>
    <col min="8709" max="8709" width="16" style="947" customWidth="1"/>
    <col min="8710" max="8710" width="16.140625" style="947" customWidth="1"/>
    <col min="8711" max="8711" width="15.7109375" style="947" customWidth="1"/>
    <col min="8712" max="8712" width="17.42578125" style="947" customWidth="1"/>
    <col min="8713" max="8714" width="16.7109375" style="947" customWidth="1"/>
    <col min="8715" max="8715" width="13.140625" style="947" customWidth="1"/>
    <col min="8716" max="8716" width="14" style="947" customWidth="1"/>
    <col min="8717" max="8717" width="17.28515625" style="947" customWidth="1"/>
    <col min="8718" max="8718" width="16.42578125" style="947" customWidth="1"/>
    <col min="8719" max="8720" width="15.42578125" style="947" customWidth="1"/>
    <col min="8721" max="8721" width="25.7109375" style="947" customWidth="1"/>
    <col min="8722" max="8722" width="31.7109375" style="947" customWidth="1"/>
    <col min="8723" max="8723" width="34.140625" style="947" customWidth="1"/>
    <col min="8724" max="8724" width="37.7109375" style="947" customWidth="1"/>
    <col min="8725" max="8725" width="48.7109375" style="947" customWidth="1"/>
    <col min="8726" max="8726" width="29.42578125" style="947" customWidth="1"/>
    <col min="8727" max="8959" width="11.5703125" style="947"/>
    <col min="8960" max="8960" width="5.42578125" style="947" customWidth="1"/>
    <col min="8961" max="8961" width="34.42578125" style="947" customWidth="1"/>
    <col min="8962" max="8962" width="27.7109375" style="947" customWidth="1"/>
    <col min="8963" max="8963" width="18.140625" style="947" customWidth="1"/>
    <col min="8964" max="8964" width="24" style="947" customWidth="1"/>
    <col min="8965" max="8965" width="16" style="947" customWidth="1"/>
    <col min="8966" max="8966" width="16.140625" style="947" customWidth="1"/>
    <col min="8967" max="8967" width="15.7109375" style="947" customWidth="1"/>
    <col min="8968" max="8968" width="17.42578125" style="947" customWidth="1"/>
    <col min="8969" max="8970" width="16.7109375" style="947" customWidth="1"/>
    <col min="8971" max="8971" width="13.140625" style="947" customWidth="1"/>
    <col min="8972" max="8972" width="14" style="947" customWidth="1"/>
    <col min="8973" max="8973" width="17.28515625" style="947" customWidth="1"/>
    <col min="8974" max="8974" width="16.42578125" style="947" customWidth="1"/>
    <col min="8975" max="8976" width="15.42578125" style="947" customWidth="1"/>
    <col min="8977" max="8977" width="25.7109375" style="947" customWidth="1"/>
    <col min="8978" max="8978" width="31.7109375" style="947" customWidth="1"/>
    <col min="8979" max="8979" width="34.140625" style="947" customWidth="1"/>
    <col min="8980" max="8980" width="37.7109375" style="947" customWidth="1"/>
    <col min="8981" max="8981" width="48.7109375" style="947" customWidth="1"/>
    <col min="8982" max="8982" width="29.42578125" style="947" customWidth="1"/>
    <col min="8983" max="9215" width="11.5703125" style="947"/>
    <col min="9216" max="9216" width="5.42578125" style="947" customWidth="1"/>
    <col min="9217" max="9217" width="34.42578125" style="947" customWidth="1"/>
    <col min="9218" max="9218" width="27.7109375" style="947" customWidth="1"/>
    <col min="9219" max="9219" width="18.140625" style="947" customWidth="1"/>
    <col min="9220" max="9220" width="24" style="947" customWidth="1"/>
    <col min="9221" max="9221" width="16" style="947" customWidth="1"/>
    <col min="9222" max="9222" width="16.140625" style="947" customWidth="1"/>
    <col min="9223" max="9223" width="15.7109375" style="947" customWidth="1"/>
    <col min="9224" max="9224" width="17.42578125" style="947" customWidth="1"/>
    <col min="9225" max="9226" width="16.7109375" style="947" customWidth="1"/>
    <col min="9227" max="9227" width="13.140625" style="947" customWidth="1"/>
    <col min="9228" max="9228" width="14" style="947" customWidth="1"/>
    <col min="9229" max="9229" width="17.28515625" style="947" customWidth="1"/>
    <col min="9230" max="9230" width="16.42578125" style="947" customWidth="1"/>
    <col min="9231" max="9232" width="15.42578125" style="947" customWidth="1"/>
    <col min="9233" max="9233" width="25.7109375" style="947" customWidth="1"/>
    <col min="9234" max="9234" width="31.7109375" style="947" customWidth="1"/>
    <col min="9235" max="9235" width="34.140625" style="947" customWidth="1"/>
    <col min="9236" max="9236" width="37.7109375" style="947" customWidth="1"/>
    <col min="9237" max="9237" width="48.7109375" style="947" customWidth="1"/>
    <col min="9238" max="9238" width="29.42578125" style="947" customWidth="1"/>
    <col min="9239" max="9471" width="11.5703125" style="947"/>
    <col min="9472" max="9472" width="5.42578125" style="947" customWidth="1"/>
    <col min="9473" max="9473" width="34.42578125" style="947" customWidth="1"/>
    <col min="9474" max="9474" width="27.7109375" style="947" customWidth="1"/>
    <col min="9475" max="9475" width="18.140625" style="947" customWidth="1"/>
    <col min="9476" max="9476" width="24" style="947" customWidth="1"/>
    <col min="9477" max="9477" width="16" style="947" customWidth="1"/>
    <col min="9478" max="9478" width="16.140625" style="947" customWidth="1"/>
    <col min="9479" max="9479" width="15.7109375" style="947" customWidth="1"/>
    <col min="9480" max="9480" width="17.42578125" style="947" customWidth="1"/>
    <col min="9481" max="9482" width="16.7109375" style="947" customWidth="1"/>
    <col min="9483" max="9483" width="13.140625" style="947" customWidth="1"/>
    <col min="9484" max="9484" width="14" style="947" customWidth="1"/>
    <col min="9485" max="9485" width="17.28515625" style="947" customWidth="1"/>
    <col min="9486" max="9486" width="16.42578125" style="947" customWidth="1"/>
    <col min="9487" max="9488" width="15.42578125" style="947" customWidth="1"/>
    <col min="9489" max="9489" width="25.7109375" style="947" customWidth="1"/>
    <col min="9490" max="9490" width="31.7109375" style="947" customWidth="1"/>
    <col min="9491" max="9491" width="34.140625" style="947" customWidth="1"/>
    <col min="9492" max="9492" width="37.7109375" style="947" customWidth="1"/>
    <col min="9493" max="9493" width="48.7109375" style="947" customWidth="1"/>
    <col min="9494" max="9494" width="29.42578125" style="947" customWidth="1"/>
    <col min="9495" max="9727" width="11.5703125" style="947"/>
    <col min="9728" max="9728" width="5.42578125" style="947" customWidth="1"/>
    <col min="9729" max="9729" width="34.42578125" style="947" customWidth="1"/>
    <col min="9730" max="9730" width="27.7109375" style="947" customWidth="1"/>
    <col min="9731" max="9731" width="18.140625" style="947" customWidth="1"/>
    <col min="9732" max="9732" width="24" style="947" customWidth="1"/>
    <col min="9733" max="9733" width="16" style="947" customWidth="1"/>
    <col min="9734" max="9734" width="16.140625" style="947" customWidth="1"/>
    <col min="9735" max="9735" width="15.7109375" style="947" customWidth="1"/>
    <col min="9736" max="9736" width="17.42578125" style="947" customWidth="1"/>
    <col min="9737" max="9738" width="16.7109375" style="947" customWidth="1"/>
    <col min="9739" max="9739" width="13.140625" style="947" customWidth="1"/>
    <col min="9740" max="9740" width="14" style="947" customWidth="1"/>
    <col min="9741" max="9741" width="17.28515625" style="947" customWidth="1"/>
    <col min="9742" max="9742" width="16.42578125" style="947" customWidth="1"/>
    <col min="9743" max="9744" width="15.42578125" style="947" customWidth="1"/>
    <col min="9745" max="9745" width="25.7109375" style="947" customWidth="1"/>
    <col min="9746" max="9746" width="31.7109375" style="947" customWidth="1"/>
    <col min="9747" max="9747" width="34.140625" style="947" customWidth="1"/>
    <col min="9748" max="9748" width="37.7109375" style="947" customWidth="1"/>
    <col min="9749" max="9749" width="48.7109375" style="947" customWidth="1"/>
    <col min="9750" max="9750" width="29.42578125" style="947" customWidth="1"/>
    <col min="9751" max="9983" width="11.5703125" style="947"/>
    <col min="9984" max="9984" width="5.42578125" style="947" customWidth="1"/>
    <col min="9985" max="9985" width="34.42578125" style="947" customWidth="1"/>
    <col min="9986" max="9986" width="27.7109375" style="947" customWidth="1"/>
    <col min="9987" max="9987" width="18.140625" style="947" customWidth="1"/>
    <col min="9988" max="9988" width="24" style="947" customWidth="1"/>
    <col min="9989" max="9989" width="16" style="947" customWidth="1"/>
    <col min="9990" max="9990" width="16.140625" style="947" customWidth="1"/>
    <col min="9991" max="9991" width="15.7109375" style="947" customWidth="1"/>
    <col min="9992" max="9992" width="17.42578125" style="947" customWidth="1"/>
    <col min="9993" max="9994" width="16.7109375" style="947" customWidth="1"/>
    <col min="9995" max="9995" width="13.140625" style="947" customWidth="1"/>
    <col min="9996" max="9996" width="14" style="947" customWidth="1"/>
    <col min="9997" max="9997" width="17.28515625" style="947" customWidth="1"/>
    <col min="9998" max="9998" width="16.42578125" style="947" customWidth="1"/>
    <col min="9999" max="10000" width="15.42578125" style="947" customWidth="1"/>
    <col min="10001" max="10001" width="25.7109375" style="947" customWidth="1"/>
    <col min="10002" max="10002" width="31.7109375" style="947" customWidth="1"/>
    <col min="10003" max="10003" width="34.140625" style="947" customWidth="1"/>
    <col min="10004" max="10004" width="37.7109375" style="947" customWidth="1"/>
    <col min="10005" max="10005" width="48.7109375" style="947" customWidth="1"/>
    <col min="10006" max="10006" width="29.42578125" style="947" customWidth="1"/>
    <col min="10007" max="10239" width="11.5703125" style="947"/>
    <col min="10240" max="10240" width="5.42578125" style="947" customWidth="1"/>
    <col min="10241" max="10241" width="34.42578125" style="947" customWidth="1"/>
    <col min="10242" max="10242" width="27.7109375" style="947" customWidth="1"/>
    <col min="10243" max="10243" width="18.140625" style="947" customWidth="1"/>
    <col min="10244" max="10244" width="24" style="947" customWidth="1"/>
    <col min="10245" max="10245" width="16" style="947" customWidth="1"/>
    <col min="10246" max="10246" width="16.140625" style="947" customWidth="1"/>
    <col min="10247" max="10247" width="15.7109375" style="947" customWidth="1"/>
    <col min="10248" max="10248" width="17.42578125" style="947" customWidth="1"/>
    <col min="10249" max="10250" width="16.7109375" style="947" customWidth="1"/>
    <col min="10251" max="10251" width="13.140625" style="947" customWidth="1"/>
    <col min="10252" max="10252" width="14" style="947" customWidth="1"/>
    <col min="10253" max="10253" width="17.28515625" style="947" customWidth="1"/>
    <col min="10254" max="10254" width="16.42578125" style="947" customWidth="1"/>
    <col min="10255" max="10256" width="15.42578125" style="947" customWidth="1"/>
    <col min="10257" max="10257" width="25.7109375" style="947" customWidth="1"/>
    <col min="10258" max="10258" width="31.7109375" style="947" customWidth="1"/>
    <col min="10259" max="10259" width="34.140625" style="947" customWidth="1"/>
    <col min="10260" max="10260" width="37.7109375" style="947" customWidth="1"/>
    <col min="10261" max="10261" width="48.7109375" style="947" customWidth="1"/>
    <col min="10262" max="10262" width="29.42578125" style="947" customWidth="1"/>
    <col min="10263" max="10495" width="11.5703125" style="947"/>
    <col min="10496" max="10496" width="5.42578125" style="947" customWidth="1"/>
    <col min="10497" max="10497" width="34.42578125" style="947" customWidth="1"/>
    <col min="10498" max="10498" width="27.7109375" style="947" customWidth="1"/>
    <col min="10499" max="10499" width="18.140625" style="947" customWidth="1"/>
    <col min="10500" max="10500" width="24" style="947" customWidth="1"/>
    <col min="10501" max="10501" width="16" style="947" customWidth="1"/>
    <col min="10502" max="10502" width="16.140625" style="947" customWidth="1"/>
    <col min="10503" max="10503" width="15.7109375" style="947" customWidth="1"/>
    <col min="10504" max="10504" width="17.42578125" style="947" customWidth="1"/>
    <col min="10505" max="10506" width="16.7109375" style="947" customWidth="1"/>
    <col min="10507" max="10507" width="13.140625" style="947" customWidth="1"/>
    <col min="10508" max="10508" width="14" style="947" customWidth="1"/>
    <col min="10509" max="10509" width="17.28515625" style="947" customWidth="1"/>
    <col min="10510" max="10510" width="16.42578125" style="947" customWidth="1"/>
    <col min="10511" max="10512" width="15.42578125" style="947" customWidth="1"/>
    <col min="10513" max="10513" width="25.7109375" style="947" customWidth="1"/>
    <col min="10514" max="10514" width="31.7109375" style="947" customWidth="1"/>
    <col min="10515" max="10515" width="34.140625" style="947" customWidth="1"/>
    <col min="10516" max="10516" width="37.7109375" style="947" customWidth="1"/>
    <col min="10517" max="10517" width="48.7109375" style="947" customWidth="1"/>
    <col min="10518" max="10518" width="29.42578125" style="947" customWidth="1"/>
    <col min="10519" max="10751" width="11.5703125" style="947"/>
    <col min="10752" max="10752" width="5.42578125" style="947" customWidth="1"/>
    <col min="10753" max="10753" width="34.42578125" style="947" customWidth="1"/>
    <col min="10754" max="10754" width="27.7109375" style="947" customWidth="1"/>
    <col min="10755" max="10755" width="18.140625" style="947" customWidth="1"/>
    <col min="10756" max="10756" width="24" style="947" customWidth="1"/>
    <col min="10757" max="10757" width="16" style="947" customWidth="1"/>
    <col min="10758" max="10758" width="16.140625" style="947" customWidth="1"/>
    <col min="10759" max="10759" width="15.7109375" style="947" customWidth="1"/>
    <col min="10760" max="10760" width="17.42578125" style="947" customWidth="1"/>
    <col min="10761" max="10762" width="16.7109375" style="947" customWidth="1"/>
    <col min="10763" max="10763" width="13.140625" style="947" customWidth="1"/>
    <col min="10764" max="10764" width="14" style="947" customWidth="1"/>
    <col min="10765" max="10765" width="17.28515625" style="947" customWidth="1"/>
    <col min="10766" max="10766" width="16.42578125" style="947" customWidth="1"/>
    <col min="10767" max="10768" width="15.42578125" style="947" customWidth="1"/>
    <col min="10769" max="10769" width="25.7109375" style="947" customWidth="1"/>
    <col min="10770" max="10770" width="31.7109375" style="947" customWidth="1"/>
    <col min="10771" max="10771" width="34.140625" style="947" customWidth="1"/>
    <col min="10772" max="10772" width="37.7109375" style="947" customWidth="1"/>
    <col min="10773" max="10773" width="48.7109375" style="947" customWidth="1"/>
    <col min="10774" max="10774" width="29.42578125" style="947" customWidth="1"/>
    <col min="10775" max="11007" width="11.5703125" style="947"/>
    <col min="11008" max="11008" width="5.42578125" style="947" customWidth="1"/>
    <col min="11009" max="11009" width="34.42578125" style="947" customWidth="1"/>
    <col min="11010" max="11010" width="27.7109375" style="947" customWidth="1"/>
    <col min="11011" max="11011" width="18.140625" style="947" customWidth="1"/>
    <col min="11012" max="11012" width="24" style="947" customWidth="1"/>
    <col min="11013" max="11013" width="16" style="947" customWidth="1"/>
    <col min="11014" max="11014" width="16.140625" style="947" customWidth="1"/>
    <col min="11015" max="11015" width="15.7109375" style="947" customWidth="1"/>
    <col min="11016" max="11016" width="17.42578125" style="947" customWidth="1"/>
    <col min="11017" max="11018" width="16.7109375" style="947" customWidth="1"/>
    <col min="11019" max="11019" width="13.140625" style="947" customWidth="1"/>
    <col min="11020" max="11020" width="14" style="947" customWidth="1"/>
    <col min="11021" max="11021" width="17.28515625" style="947" customWidth="1"/>
    <col min="11022" max="11022" width="16.42578125" style="947" customWidth="1"/>
    <col min="11023" max="11024" width="15.42578125" style="947" customWidth="1"/>
    <col min="11025" max="11025" width="25.7109375" style="947" customWidth="1"/>
    <col min="11026" max="11026" width="31.7109375" style="947" customWidth="1"/>
    <col min="11027" max="11027" width="34.140625" style="947" customWidth="1"/>
    <col min="11028" max="11028" width="37.7109375" style="947" customWidth="1"/>
    <col min="11029" max="11029" width="48.7109375" style="947" customWidth="1"/>
    <col min="11030" max="11030" width="29.42578125" style="947" customWidth="1"/>
    <col min="11031" max="11263" width="11.5703125" style="947"/>
    <col min="11264" max="11264" width="5.42578125" style="947" customWidth="1"/>
    <col min="11265" max="11265" width="34.42578125" style="947" customWidth="1"/>
    <col min="11266" max="11266" width="27.7109375" style="947" customWidth="1"/>
    <col min="11267" max="11267" width="18.140625" style="947" customWidth="1"/>
    <col min="11268" max="11268" width="24" style="947" customWidth="1"/>
    <col min="11269" max="11269" width="16" style="947" customWidth="1"/>
    <col min="11270" max="11270" width="16.140625" style="947" customWidth="1"/>
    <col min="11271" max="11271" width="15.7109375" style="947" customWidth="1"/>
    <col min="11272" max="11272" width="17.42578125" style="947" customWidth="1"/>
    <col min="11273" max="11274" width="16.7109375" style="947" customWidth="1"/>
    <col min="11275" max="11275" width="13.140625" style="947" customWidth="1"/>
    <col min="11276" max="11276" width="14" style="947" customWidth="1"/>
    <col min="11277" max="11277" width="17.28515625" style="947" customWidth="1"/>
    <col min="11278" max="11278" width="16.42578125" style="947" customWidth="1"/>
    <col min="11279" max="11280" width="15.42578125" style="947" customWidth="1"/>
    <col min="11281" max="11281" width="25.7109375" style="947" customWidth="1"/>
    <col min="11282" max="11282" width="31.7109375" style="947" customWidth="1"/>
    <col min="11283" max="11283" width="34.140625" style="947" customWidth="1"/>
    <col min="11284" max="11284" width="37.7109375" style="947" customWidth="1"/>
    <col min="11285" max="11285" width="48.7109375" style="947" customWidth="1"/>
    <col min="11286" max="11286" width="29.42578125" style="947" customWidth="1"/>
    <col min="11287" max="11519" width="11.5703125" style="947"/>
    <col min="11520" max="11520" width="5.42578125" style="947" customWidth="1"/>
    <col min="11521" max="11521" width="34.42578125" style="947" customWidth="1"/>
    <col min="11522" max="11522" width="27.7109375" style="947" customWidth="1"/>
    <col min="11523" max="11523" width="18.140625" style="947" customWidth="1"/>
    <col min="11524" max="11524" width="24" style="947" customWidth="1"/>
    <col min="11525" max="11525" width="16" style="947" customWidth="1"/>
    <col min="11526" max="11526" width="16.140625" style="947" customWidth="1"/>
    <col min="11527" max="11527" width="15.7109375" style="947" customWidth="1"/>
    <col min="11528" max="11528" width="17.42578125" style="947" customWidth="1"/>
    <col min="11529" max="11530" width="16.7109375" style="947" customWidth="1"/>
    <col min="11531" max="11531" width="13.140625" style="947" customWidth="1"/>
    <col min="11532" max="11532" width="14" style="947" customWidth="1"/>
    <col min="11533" max="11533" width="17.28515625" style="947" customWidth="1"/>
    <col min="11534" max="11534" width="16.42578125" style="947" customWidth="1"/>
    <col min="11535" max="11536" width="15.42578125" style="947" customWidth="1"/>
    <col min="11537" max="11537" width="25.7109375" style="947" customWidth="1"/>
    <col min="11538" max="11538" width="31.7109375" style="947" customWidth="1"/>
    <col min="11539" max="11539" width="34.140625" style="947" customWidth="1"/>
    <col min="11540" max="11540" width="37.7109375" style="947" customWidth="1"/>
    <col min="11541" max="11541" width="48.7109375" style="947" customWidth="1"/>
    <col min="11542" max="11542" width="29.42578125" style="947" customWidth="1"/>
    <col min="11543" max="11775" width="11.5703125" style="947"/>
    <col min="11776" max="11776" width="5.42578125" style="947" customWidth="1"/>
    <col min="11777" max="11777" width="34.42578125" style="947" customWidth="1"/>
    <col min="11778" max="11778" width="27.7109375" style="947" customWidth="1"/>
    <col min="11779" max="11779" width="18.140625" style="947" customWidth="1"/>
    <col min="11780" max="11780" width="24" style="947" customWidth="1"/>
    <col min="11781" max="11781" width="16" style="947" customWidth="1"/>
    <col min="11782" max="11782" width="16.140625" style="947" customWidth="1"/>
    <col min="11783" max="11783" width="15.7109375" style="947" customWidth="1"/>
    <col min="11784" max="11784" width="17.42578125" style="947" customWidth="1"/>
    <col min="11785" max="11786" width="16.7109375" style="947" customWidth="1"/>
    <col min="11787" max="11787" width="13.140625" style="947" customWidth="1"/>
    <col min="11788" max="11788" width="14" style="947" customWidth="1"/>
    <col min="11789" max="11789" width="17.28515625" style="947" customWidth="1"/>
    <col min="11790" max="11790" width="16.42578125" style="947" customWidth="1"/>
    <col min="11791" max="11792" width="15.42578125" style="947" customWidth="1"/>
    <col min="11793" max="11793" width="25.7109375" style="947" customWidth="1"/>
    <col min="11794" max="11794" width="31.7109375" style="947" customWidth="1"/>
    <col min="11795" max="11795" width="34.140625" style="947" customWidth="1"/>
    <col min="11796" max="11796" width="37.7109375" style="947" customWidth="1"/>
    <col min="11797" max="11797" width="48.7109375" style="947" customWidth="1"/>
    <col min="11798" max="11798" width="29.42578125" style="947" customWidth="1"/>
    <col min="11799" max="12031" width="11.5703125" style="947"/>
    <col min="12032" max="12032" width="5.42578125" style="947" customWidth="1"/>
    <col min="12033" max="12033" width="34.42578125" style="947" customWidth="1"/>
    <col min="12034" max="12034" width="27.7109375" style="947" customWidth="1"/>
    <col min="12035" max="12035" width="18.140625" style="947" customWidth="1"/>
    <col min="12036" max="12036" width="24" style="947" customWidth="1"/>
    <col min="12037" max="12037" width="16" style="947" customWidth="1"/>
    <col min="12038" max="12038" width="16.140625" style="947" customWidth="1"/>
    <col min="12039" max="12039" width="15.7109375" style="947" customWidth="1"/>
    <col min="12040" max="12040" width="17.42578125" style="947" customWidth="1"/>
    <col min="12041" max="12042" width="16.7109375" style="947" customWidth="1"/>
    <col min="12043" max="12043" width="13.140625" style="947" customWidth="1"/>
    <col min="12044" max="12044" width="14" style="947" customWidth="1"/>
    <col min="12045" max="12045" width="17.28515625" style="947" customWidth="1"/>
    <col min="12046" max="12046" width="16.42578125" style="947" customWidth="1"/>
    <col min="12047" max="12048" width="15.42578125" style="947" customWidth="1"/>
    <col min="12049" max="12049" width="25.7109375" style="947" customWidth="1"/>
    <col min="12050" max="12050" width="31.7109375" style="947" customWidth="1"/>
    <col min="12051" max="12051" width="34.140625" style="947" customWidth="1"/>
    <col min="12052" max="12052" width="37.7109375" style="947" customWidth="1"/>
    <col min="12053" max="12053" width="48.7109375" style="947" customWidth="1"/>
    <col min="12054" max="12054" width="29.42578125" style="947" customWidth="1"/>
    <col min="12055" max="12287" width="11.5703125" style="947"/>
    <col min="12288" max="12288" width="5.42578125" style="947" customWidth="1"/>
    <col min="12289" max="12289" width="34.42578125" style="947" customWidth="1"/>
    <col min="12290" max="12290" width="27.7109375" style="947" customWidth="1"/>
    <col min="12291" max="12291" width="18.140625" style="947" customWidth="1"/>
    <col min="12292" max="12292" width="24" style="947" customWidth="1"/>
    <col min="12293" max="12293" width="16" style="947" customWidth="1"/>
    <col min="12294" max="12294" width="16.140625" style="947" customWidth="1"/>
    <col min="12295" max="12295" width="15.7109375" style="947" customWidth="1"/>
    <col min="12296" max="12296" width="17.42578125" style="947" customWidth="1"/>
    <col min="12297" max="12298" width="16.7109375" style="947" customWidth="1"/>
    <col min="12299" max="12299" width="13.140625" style="947" customWidth="1"/>
    <col min="12300" max="12300" width="14" style="947" customWidth="1"/>
    <col min="12301" max="12301" width="17.28515625" style="947" customWidth="1"/>
    <col min="12302" max="12302" width="16.42578125" style="947" customWidth="1"/>
    <col min="12303" max="12304" width="15.42578125" style="947" customWidth="1"/>
    <col min="12305" max="12305" width="25.7109375" style="947" customWidth="1"/>
    <col min="12306" max="12306" width="31.7109375" style="947" customWidth="1"/>
    <col min="12307" max="12307" width="34.140625" style="947" customWidth="1"/>
    <col min="12308" max="12308" width="37.7109375" style="947" customWidth="1"/>
    <col min="12309" max="12309" width="48.7109375" style="947" customWidth="1"/>
    <col min="12310" max="12310" width="29.42578125" style="947" customWidth="1"/>
    <col min="12311" max="12543" width="11.5703125" style="947"/>
    <col min="12544" max="12544" width="5.42578125" style="947" customWidth="1"/>
    <col min="12545" max="12545" width="34.42578125" style="947" customWidth="1"/>
    <col min="12546" max="12546" width="27.7109375" style="947" customWidth="1"/>
    <col min="12547" max="12547" width="18.140625" style="947" customWidth="1"/>
    <col min="12548" max="12548" width="24" style="947" customWidth="1"/>
    <col min="12549" max="12549" width="16" style="947" customWidth="1"/>
    <col min="12550" max="12550" width="16.140625" style="947" customWidth="1"/>
    <col min="12551" max="12551" width="15.7109375" style="947" customWidth="1"/>
    <col min="12552" max="12552" width="17.42578125" style="947" customWidth="1"/>
    <col min="12553" max="12554" width="16.7109375" style="947" customWidth="1"/>
    <col min="12555" max="12555" width="13.140625" style="947" customWidth="1"/>
    <col min="12556" max="12556" width="14" style="947" customWidth="1"/>
    <col min="12557" max="12557" width="17.28515625" style="947" customWidth="1"/>
    <col min="12558" max="12558" width="16.42578125" style="947" customWidth="1"/>
    <col min="12559" max="12560" width="15.42578125" style="947" customWidth="1"/>
    <col min="12561" max="12561" width="25.7109375" style="947" customWidth="1"/>
    <col min="12562" max="12562" width="31.7109375" style="947" customWidth="1"/>
    <col min="12563" max="12563" width="34.140625" style="947" customWidth="1"/>
    <col min="12564" max="12564" width="37.7109375" style="947" customWidth="1"/>
    <col min="12565" max="12565" width="48.7109375" style="947" customWidth="1"/>
    <col min="12566" max="12566" width="29.42578125" style="947" customWidth="1"/>
    <col min="12567" max="12799" width="11.5703125" style="947"/>
    <col min="12800" max="12800" width="5.42578125" style="947" customWidth="1"/>
    <col min="12801" max="12801" width="34.42578125" style="947" customWidth="1"/>
    <col min="12802" max="12802" width="27.7109375" style="947" customWidth="1"/>
    <col min="12803" max="12803" width="18.140625" style="947" customWidth="1"/>
    <col min="12804" max="12804" width="24" style="947" customWidth="1"/>
    <col min="12805" max="12805" width="16" style="947" customWidth="1"/>
    <col min="12806" max="12806" width="16.140625" style="947" customWidth="1"/>
    <col min="12807" max="12807" width="15.7109375" style="947" customWidth="1"/>
    <col min="12808" max="12808" width="17.42578125" style="947" customWidth="1"/>
    <col min="12809" max="12810" width="16.7109375" style="947" customWidth="1"/>
    <col min="12811" max="12811" width="13.140625" style="947" customWidth="1"/>
    <col min="12812" max="12812" width="14" style="947" customWidth="1"/>
    <col min="12813" max="12813" width="17.28515625" style="947" customWidth="1"/>
    <col min="12814" max="12814" width="16.42578125" style="947" customWidth="1"/>
    <col min="12815" max="12816" width="15.42578125" style="947" customWidth="1"/>
    <col min="12817" max="12817" width="25.7109375" style="947" customWidth="1"/>
    <col min="12818" max="12818" width="31.7109375" style="947" customWidth="1"/>
    <col min="12819" max="12819" width="34.140625" style="947" customWidth="1"/>
    <col min="12820" max="12820" width="37.7109375" style="947" customWidth="1"/>
    <col min="12821" max="12821" width="48.7109375" style="947" customWidth="1"/>
    <col min="12822" max="12822" width="29.42578125" style="947" customWidth="1"/>
    <col min="12823" max="13055" width="11.5703125" style="947"/>
    <col min="13056" max="13056" width="5.42578125" style="947" customWidth="1"/>
    <col min="13057" max="13057" width="34.42578125" style="947" customWidth="1"/>
    <col min="13058" max="13058" width="27.7109375" style="947" customWidth="1"/>
    <col min="13059" max="13059" width="18.140625" style="947" customWidth="1"/>
    <col min="13060" max="13060" width="24" style="947" customWidth="1"/>
    <col min="13061" max="13061" width="16" style="947" customWidth="1"/>
    <col min="13062" max="13062" width="16.140625" style="947" customWidth="1"/>
    <col min="13063" max="13063" width="15.7109375" style="947" customWidth="1"/>
    <col min="13064" max="13064" width="17.42578125" style="947" customWidth="1"/>
    <col min="13065" max="13066" width="16.7109375" style="947" customWidth="1"/>
    <col min="13067" max="13067" width="13.140625" style="947" customWidth="1"/>
    <col min="13068" max="13068" width="14" style="947" customWidth="1"/>
    <col min="13069" max="13069" width="17.28515625" style="947" customWidth="1"/>
    <col min="13070" max="13070" width="16.42578125" style="947" customWidth="1"/>
    <col min="13071" max="13072" width="15.42578125" style="947" customWidth="1"/>
    <col min="13073" max="13073" width="25.7109375" style="947" customWidth="1"/>
    <col min="13074" max="13074" width="31.7109375" style="947" customWidth="1"/>
    <col min="13075" max="13075" width="34.140625" style="947" customWidth="1"/>
    <col min="13076" max="13076" width="37.7109375" style="947" customWidth="1"/>
    <col min="13077" max="13077" width="48.7109375" style="947" customWidth="1"/>
    <col min="13078" max="13078" width="29.42578125" style="947" customWidth="1"/>
    <col min="13079" max="13311" width="11.5703125" style="947"/>
    <col min="13312" max="13312" width="5.42578125" style="947" customWidth="1"/>
    <col min="13313" max="13313" width="34.42578125" style="947" customWidth="1"/>
    <col min="13314" max="13314" width="27.7109375" style="947" customWidth="1"/>
    <col min="13315" max="13315" width="18.140625" style="947" customWidth="1"/>
    <col min="13316" max="13316" width="24" style="947" customWidth="1"/>
    <col min="13317" max="13317" width="16" style="947" customWidth="1"/>
    <col min="13318" max="13318" width="16.140625" style="947" customWidth="1"/>
    <col min="13319" max="13319" width="15.7109375" style="947" customWidth="1"/>
    <col min="13320" max="13320" width="17.42578125" style="947" customWidth="1"/>
    <col min="13321" max="13322" width="16.7109375" style="947" customWidth="1"/>
    <col min="13323" max="13323" width="13.140625" style="947" customWidth="1"/>
    <col min="13324" max="13324" width="14" style="947" customWidth="1"/>
    <col min="13325" max="13325" width="17.28515625" style="947" customWidth="1"/>
    <col min="13326" max="13326" width="16.42578125" style="947" customWidth="1"/>
    <col min="13327" max="13328" width="15.42578125" style="947" customWidth="1"/>
    <col min="13329" max="13329" width="25.7109375" style="947" customWidth="1"/>
    <col min="13330" max="13330" width="31.7109375" style="947" customWidth="1"/>
    <col min="13331" max="13331" width="34.140625" style="947" customWidth="1"/>
    <col min="13332" max="13332" width="37.7109375" style="947" customWidth="1"/>
    <col min="13333" max="13333" width="48.7109375" style="947" customWidth="1"/>
    <col min="13334" max="13334" width="29.42578125" style="947" customWidth="1"/>
    <col min="13335" max="13567" width="11.5703125" style="947"/>
    <col min="13568" max="13568" width="5.42578125" style="947" customWidth="1"/>
    <col min="13569" max="13569" width="34.42578125" style="947" customWidth="1"/>
    <col min="13570" max="13570" width="27.7109375" style="947" customWidth="1"/>
    <col min="13571" max="13571" width="18.140625" style="947" customWidth="1"/>
    <col min="13572" max="13572" width="24" style="947" customWidth="1"/>
    <col min="13573" max="13573" width="16" style="947" customWidth="1"/>
    <col min="13574" max="13574" width="16.140625" style="947" customWidth="1"/>
    <col min="13575" max="13575" width="15.7109375" style="947" customWidth="1"/>
    <col min="13576" max="13576" width="17.42578125" style="947" customWidth="1"/>
    <col min="13577" max="13578" width="16.7109375" style="947" customWidth="1"/>
    <col min="13579" max="13579" width="13.140625" style="947" customWidth="1"/>
    <col min="13580" max="13580" width="14" style="947" customWidth="1"/>
    <col min="13581" max="13581" width="17.28515625" style="947" customWidth="1"/>
    <col min="13582" max="13582" width="16.42578125" style="947" customWidth="1"/>
    <col min="13583" max="13584" width="15.42578125" style="947" customWidth="1"/>
    <col min="13585" max="13585" width="25.7109375" style="947" customWidth="1"/>
    <col min="13586" max="13586" width="31.7109375" style="947" customWidth="1"/>
    <col min="13587" max="13587" width="34.140625" style="947" customWidth="1"/>
    <col min="13588" max="13588" width="37.7109375" style="947" customWidth="1"/>
    <col min="13589" max="13589" width="48.7109375" style="947" customWidth="1"/>
    <col min="13590" max="13590" width="29.42578125" style="947" customWidth="1"/>
    <col min="13591" max="13823" width="11.5703125" style="947"/>
    <col min="13824" max="13824" width="5.42578125" style="947" customWidth="1"/>
    <col min="13825" max="13825" width="34.42578125" style="947" customWidth="1"/>
    <col min="13826" max="13826" width="27.7109375" style="947" customWidth="1"/>
    <col min="13827" max="13827" width="18.140625" style="947" customWidth="1"/>
    <col min="13828" max="13828" width="24" style="947" customWidth="1"/>
    <col min="13829" max="13829" width="16" style="947" customWidth="1"/>
    <col min="13830" max="13830" width="16.140625" style="947" customWidth="1"/>
    <col min="13831" max="13831" width="15.7109375" style="947" customWidth="1"/>
    <col min="13832" max="13832" width="17.42578125" style="947" customWidth="1"/>
    <col min="13833" max="13834" width="16.7109375" style="947" customWidth="1"/>
    <col min="13835" max="13835" width="13.140625" style="947" customWidth="1"/>
    <col min="13836" max="13836" width="14" style="947" customWidth="1"/>
    <col min="13837" max="13837" width="17.28515625" style="947" customWidth="1"/>
    <col min="13838" max="13838" width="16.42578125" style="947" customWidth="1"/>
    <col min="13839" max="13840" width="15.42578125" style="947" customWidth="1"/>
    <col min="13841" max="13841" width="25.7109375" style="947" customWidth="1"/>
    <col min="13842" max="13842" width="31.7109375" style="947" customWidth="1"/>
    <col min="13843" max="13843" width="34.140625" style="947" customWidth="1"/>
    <col min="13844" max="13844" width="37.7109375" style="947" customWidth="1"/>
    <col min="13845" max="13845" width="48.7109375" style="947" customWidth="1"/>
    <col min="13846" max="13846" width="29.42578125" style="947" customWidth="1"/>
    <col min="13847" max="14079" width="11.5703125" style="947"/>
    <col min="14080" max="14080" width="5.42578125" style="947" customWidth="1"/>
    <col min="14081" max="14081" width="34.42578125" style="947" customWidth="1"/>
    <col min="14082" max="14082" width="27.7109375" style="947" customWidth="1"/>
    <col min="14083" max="14083" width="18.140625" style="947" customWidth="1"/>
    <col min="14084" max="14084" width="24" style="947" customWidth="1"/>
    <col min="14085" max="14085" width="16" style="947" customWidth="1"/>
    <col min="14086" max="14086" width="16.140625" style="947" customWidth="1"/>
    <col min="14087" max="14087" width="15.7109375" style="947" customWidth="1"/>
    <col min="14088" max="14088" width="17.42578125" style="947" customWidth="1"/>
    <col min="14089" max="14090" width="16.7109375" style="947" customWidth="1"/>
    <col min="14091" max="14091" width="13.140625" style="947" customWidth="1"/>
    <col min="14092" max="14092" width="14" style="947" customWidth="1"/>
    <col min="14093" max="14093" width="17.28515625" style="947" customWidth="1"/>
    <col min="14094" max="14094" width="16.42578125" style="947" customWidth="1"/>
    <col min="14095" max="14096" width="15.42578125" style="947" customWidth="1"/>
    <col min="14097" max="14097" width="25.7109375" style="947" customWidth="1"/>
    <col min="14098" max="14098" width="31.7109375" style="947" customWidth="1"/>
    <col min="14099" max="14099" width="34.140625" style="947" customWidth="1"/>
    <col min="14100" max="14100" width="37.7109375" style="947" customWidth="1"/>
    <col min="14101" max="14101" width="48.7109375" style="947" customWidth="1"/>
    <col min="14102" max="14102" width="29.42578125" style="947" customWidth="1"/>
    <col min="14103" max="14335" width="11.5703125" style="947"/>
    <col min="14336" max="14336" width="5.42578125" style="947" customWidth="1"/>
    <col min="14337" max="14337" width="34.42578125" style="947" customWidth="1"/>
    <col min="14338" max="14338" width="27.7109375" style="947" customWidth="1"/>
    <col min="14339" max="14339" width="18.140625" style="947" customWidth="1"/>
    <col min="14340" max="14340" width="24" style="947" customWidth="1"/>
    <col min="14341" max="14341" width="16" style="947" customWidth="1"/>
    <col min="14342" max="14342" width="16.140625" style="947" customWidth="1"/>
    <col min="14343" max="14343" width="15.7109375" style="947" customWidth="1"/>
    <col min="14344" max="14344" width="17.42578125" style="947" customWidth="1"/>
    <col min="14345" max="14346" width="16.7109375" style="947" customWidth="1"/>
    <col min="14347" max="14347" width="13.140625" style="947" customWidth="1"/>
    <col min="14348" max="14348" width="14" style="947" customWidth="1"/>
    <col min="14349" max="14349" width="17.28515625" style="947" customWidth="1"/>
    <col min="14350" max="14350" width="16.42578125" style="947" customWidth="1"/>
    <col min="14351" max="14352" width="15.42578125" style="947" customWidth="1"/>
    <col min="14353" max="14353" width="25.7109375" style="947" customWidth="1"/>
    <col min="14354" max="14354" width="31.7109375" style="947" customWidth="1"/>
    <col min="14355" max="14355" width="34.140625" style="947" customWidth="1"/>
    <col min="14356" max="14356" width="37.7109375" style="947" customWidth="1"/>
    <col min="14357" max="14357" width="48.7109375" style="947" customWidth="1"/>
    <col min="14358" max="14358" width="29.42578125" style="947" customWidth="1"/>
    <col min="14359" max="14591" width="11.5703125" style="947"/>
    <col min="14592" max="14592" width="5.42578125" style="947" customWidth="1"/>
    <col min="14593" max="14593" width="34.42578125" style="947" customWidth="1"/>
    <col min="14594" max="14594" width="27.7109375" style="947" customWidth="1"/>
    <col min="14595" max="14595" width="18.140625" style="947" customWidth="1"/>
    <col min="14596" max="14596" width="24" style="947" customWidth="1"/>
    <col min="14597" max="14597" width="16" style="947" customWidth="1"/>
    <col min="14598" max="14598" width="16.140625" style="947" customWidth="1"/>
    <col min="14599" max="14599" width="15.7109375" style="947" customWidth="1"/>
    <col min="14600" max="14600" width="17.42578125" style="947" customWidth="1"/>
    <col min="14601" max="14602" width="16.7109375" style="947" customWidth="1"/>
    <col min="14603" max="14603" width="13.140625" style="947" customWidth="1"/>
    <col min="14604" max="14604" width="14" style="947" customWidth="1"/>
    <col min="14605" max="14605" width="17.28515625" style="947" customWidth="1"/>
    <col min="14606" max="14606" width="16.42578125" style="947" customWidth="1"/>
    <col min="14607" max="14608" width="15.42578125" style="947" customWidth="1"/>
    <col min="14609" max="14609" width="25.7109375" style="947" customWidth="1"/>
    <col min="14610" max="14610" width="31.7109375" style="947" customWidth="1"/>
    <col min="14611" max="14611" width="34.140625" style="947" customWidth="1"/>
    <col min="14612" max="14612" width="37.7109375" style="947" customWidth="1"/>
    <col min="14613" max="14613" width="48.7109375" style="947" customWidth="1"/>
    <col min="14614" max="14614" width="29.42578125" style="947" customWidth="1"/>
    <col min="14615" max="14847" width="11.5703125" style="947"/>
    <col min="14848" max="14848" width="5.42578125" style="947" customWidth="1"/>
    <col min="14849" max="14849" width="34.42578125" style="947" customWidth="1"/>
    <col min="14850" max="14850" width="27.7109375" style="947" customWidth="1"/>
    <col min="14851" max="14851" width="18.140625" style="947" customWidth="1"/>
    <col min="14852" max="14852" width="24" style="947" customWidth="1"/>
    <col min="14853" max="14853" width="16" style="947" customWidth="1"/>
    <col min="14854" max="14854" width="16.140625" style="947" customWidth="1"/>
    <col min="14855" max="14855" width="15.7109375" style="947" customWidth="1"/>
    <col min="14856" max="14856" width="17.42578125" style="947" customWidth="1"/>
    <col min="14857" max="14858" width="16.7109375" style="947" customWidth="1"/>
    <col min="14859" max="14859" width="13.140625" style="947" customWidth="1"/>
    <col min="14860" max="14860" width="14" style="947" customWidth="1"/>
    <col min="14861" max="14861" width="17.28515625" style="947" customWidth="1"/>
    <col min="14862" max="14862" width="16.42578125" style="947" customWidth="1"/>
    <col min="14863" max="14864" width="15.42578125" style="947" customWidth="1"/>
    <col min="14865" max="14865" width="25.7109375" style="947" customWidth="1"/>
    <col min="14866" max="14866" width="31.7109375" style="947" customWidth="1"/>
    <col min="14867" max="14867" width="34.140625" style="947" customWidth="1"/>
    <col min="14868" max="14868" width="37.7109375" style="947" customWidth="1"/>
    <col min="14869" max="14869" width="48.7109375" style="947" customWidth="1"/>
    <col min="14870" max="14870" width="29.42578125" style="947" customWidth="1"/>
    <col min="14871" max="15103" width="11.5703125" style="947"/>
    <col min="15104" max="15104" width="5.42578125" style="947" customWidth="1"/>
    <col min="15105" max="15105" width="34.42578125" style="947" customWidth="1"/>
    <col min="15106" max="15106" width="27.7109375" style="947" customWidth="1"/>
    <col min="15107" max="15107" width="18.140625" style="947" customWidth="1"/>
    <col min="15108" max="15108" width="24" style="947" customWidth="1"/>
    <col min="15109" max="15109" width="16" style="947" customWidth="1"/>
    <col min="15110" max="15110" width="16.140625" style="947" customWidth="1"/>
    <col min="15111" max="15111" width="15.7109375" style="947" customWidth="1"/>
    <col min="15112" max="15112" width="17.42578125" style="947" customWidth="1"/>
    <col min="15113" max="15114" width="16.7109375" style="947" customWidth="1"/>
    <col min="15115" max="15115" width="13.140625" style="947" customWidth="1"/>
    <col min="15116" max="15116" width="14" style="947" customWidth="1"/>
    <col min="15117" max="15117" width="17.28515625" style="947" customWidth="1"/>
    <col min="15118" max="15118" width="16.42578125" style="947" customWidth="1"/>
    <col min="15119" max="15120" width="15.42578125" style="947" customWidth="1"/>
    <col min="15121" max="15121" width="25.7109375" style="947" customWidth="1"/>
    <col min="15122" max="15122" width="31.7109375" style="947" customWidth="1"/>
    <col min="15123" max="15123" width="34.140625" style="947" customWidth="1"/>
    <col min="15124" max="15124" width="37.7109375" style="947" customWidth="1"/>
    <col min="15125" max="15125" width="48.7109375" style="947" customWidth="1"/>
    <col min="15126" max="15126" width="29.42578125" style="947" customWidth="1"/>
    <col min="15127" max="15359" width="11.5703125" style="947"/>
    <col min="15360" max="15360" width="5.42578125" style="947" customWidth="1"/>
    <col min="15361" max="15361" width="34.42578125" style="947" customWidth="1"/>
    <col min="15362" max="15362" width="27.7109375" style="947" customWidth="1"/>
    <col min="15363" max="15363" width="18.140625" style="947" customWidth="1"/>
    <col min="15364" max="15364" width="24" style="947" customWidth="1"/>
    <col min="15365" max="15365" width="16" style="947" customWidth="1"/>
    <col min="15366" max="15366" width="16.140625" style="947" customWidth="1"/>
    <col min="15367" max="15367" width="15.7109375" style="947" customWidth="1"/>
    <col min="15368" max="15368" width="17.42578125" style="947" customWidth="1"/>
    <col min="15369" max="15370" width="16.7109375" style="947" customWidth="1"/>
    <col min="15371" max="15371" width="13.140625" style="947" customWidth="1"/>
    <col min="15372" max="15372" width="14" style="947" customWidth="1"/>
    <col min="15373" max="15373" width="17.28515625" style="947" customWidth="1"/>
    <col min="15374" max="15374" width="16.42578125" style="947" customWidth="1"/>
    <col min="15375" max="15376" width="15.42578125" style="947" customWidth="1"/>
    <col min="15377" max="15377" width="25.7109375" style="947" customWidth="1"/>
    <col min="15378" max="15378" width="31.7109375" style="947" customWidth="1"/>
    <col min="15379" max="15379" width="34.140625" style="947" customWidth="1"/>
    <col min="15380" max="15380" width="37.7109375" style="947" customWidth="1"/>
    <col min="15381" max="15381" width="48.7109375" style="947" customWidth="1"/>
    <col min="15382" max="15382" width="29.42578125" style="947" customWidth="1"/>
    <col min="15383" max="15615" width="11.5703125" style="947"/>
    <col min="15616" max="15616" width="5.42578125" style="947" customWidth="1"/>
    <col min="15617" max="15617" width="34.42578125" style="947" customWidth="1"/>
    <col min="15618" max="15618" width="27.7109375" style="947" customWidth="1"/>
    <col min="15619" max="15619" width="18.140625" style="947" customWidth="1"/>
    <col min="15620" max="15620" width="24" style="947" customWidth="1"/>
    <col min="15621" max="15621" width="16" style="947" customWidth="1"/>
    <col min="15622" max="15622" width="16.140625" style="947" customWidth="1"/>
    <col min="15623" max="15623" width="15.7109375" style="947" customWidth="1"/>
    <col min="15624" max="15624" width="17.42578125" style="947" customWidth="1"/>
    <col min="15625" max="15626" width="16.7109375" style="947" customWidth="1"/>
    <col min="15627" max="15627" width="13.140625" style="947" customWidth="1"/>
    <col min="15628" max="15628" width="14" style="947" customWidth="1"/>
    <col min="15629" max="15629" width="17.28515625" style="947" customWidth="1"/>
    <col min="15630" max="15630" width="16.42578125" style="947" customWidth="1"/>
    <col min="15631" max="15632" width="15.42578125" style="947" customWidth="1"/>
    <col min="15633" max="15633" width="25.7109375" style="947" customWidth="1"/>
    <col min="15634" max="15634" width="31.7109375" style="947" customWidth="1"/>
    <col min="15635" max="15635" width="34.140625" style="947" customWidth="1"/>
    <col min="15636" max="15636" width="37.7109375" style="947" customWidth="1"/>
    <col min="15637" max="15637" width="48.7109375" style="947" customWidth="1"/>
    <col min="15638" max="15638" width="29.42578125" style="947" customWidth="1"/>
    <col min="15639" max="15871" width="11.5703125" style="947"/>
    <col min="15872" max="15872" width="5.42578125" style="947" customWidth="1"/>
    <col min="15873" max="15873" width="34.42578125" style="947" customWidth="1"/>
    <col min="15874" max="15874" width="27.7109375" style="947" customWidth="1"/>
    <col min="15875" max="15875" width="18.140625" style="947" customWidth="1"/>
    <col min="15876" max="15876" width="24" style="947" customWidth="1"/>
    <col min="15877" max="15877" width="16" style="947" customWidth="1"/>
    <col min="15878" max="15878" width="16.140625" style="947" customWidth="1"/>
    <col min="15879" max="15879" width="15.7109375" style="947" customWidth="1"/>
    <col min="15880" max="15880" width="17.42578125" style="947" customWidth="1"/>
    <col min="15881" max="15882" width="16.7109375" style="947" customWidth="1"/>
    <col min="15883" max="15883" width="13.140625" style="947" customWidth="1"/>
    <col min="15884" max="15884" width="14" style="947" customWidth="1"/>
    <col min="15885" max="15885" width="17.28515625" style="947" customWidth="1"/>
    <col min="15886" max="15886" width="16.42578125" style="947" customWidth="1"/>
    <col min="15887" max="15888" width="15.42578125" style="947" customWidth="1"/>
    <col min="15889" max="15889" width="25.7109375" style="947" customWidth="1"/>
    <col min="15890" max="15890" width="31.7109375" style="947" customWidth="1"/>
    <col min="15891" max="15891" width="34.140625" style="947" customWidth="1"/>
    <col min="15892" max="15892" width="37.7109375" style="947" customWidth="1"/>
    <col min="15893" max="15893" width="48.7109375" style="947" customWidth="1"/>
    <col min="15894" max="15894" width="29.42578125" style="947" customWidth="1"/>
    <col min="15895" max="16127" width="11.5703125" style="947"/>
    <col min="16128" max="16128" width="5.42578125" style="947" customWidth="1"/>
    <col min="16129" max="16129" width="34.42578125" style="947" customWidth="1"/>
    <col min="16130" max="16130" width="27.7109375" style="947" customWidth="1"/>
    <col min="16131" max="16131" width="18.140625" style="947" customWidth="1"/>
    <col min="16132" max="16132" width="24" style="947" customWidth="1"/>
    <col min="16133" max="16133" width="16" style="947" customWidth="1"/>
    <col min="16134" max="16134" width="16.140625" style="947" customWidth="1"/>
    <col min="16135" max="16135" width="15.7109375" style="947" customWidth="1"/>
    <col min="16136" max="16136" width="17.42578125" style="947" customWidth="1"/>
    <col min="16137" max="16138" width="16.7109375" style="947" customWidth="1"/>
    <col min="16139" max="16139" width="13.140625" style="947" customWidth="1"/>
    <col min="16140" max="16140" width="14" style="947" customWidth="1"/>
    <col min="16141" max="16141" width="17.28515625" style="947" customWidth="1"/>
    <col min="16142" max="16142" width="16.42578125" style="947" customWidth="1"/>
    <col min="16143" max="16144" width="15.42578125" style="947" customWidth="1"/>
    <col min="16145" max="16145" width="25.7109375" style="947" customWidth="1"/>
    <col min="16146" max="16146" width="31.7109375" style="947" customWidth="1"/>
    <col min="16147" max="16147" width="34.140625" style="947" customWidth="1"/>
    <col min="16148" max="16148" width="37.7109375" style="947" customWidth="1"/>
    <col min="16149" max="16149" width="48.7109375" style="947" customWidth="1"/>
    <col min="16150" max="16150" width="29.42578125" style="947" customWidth="1"/>
    <col min="16151" max="16384" width="11.5703125" style="947"/>
  </cols>
  <sheetData>
    <row r="2" spans="1:24" ht="51" customHeight="1" x14ac:dyDescent="0.2">
      <c r="B2" s="2420"/>
      <c r="C2" s="2008" t="s">
        <v>1594</v>
      </c>
      <c r="D2" s="2008"/>
      <c r="E2" s="2008"/>
      <c r="F2" s="2008"/>
      <c r="G2" s="2008"/>
      <c r="H2" s="2008"/>
      <c r="I2" s="2008"/>
      <c r="J2" s="2008"/>
      <c r="K2" s="2008"/>
      <c r="L2" s="2008"/>
      <c r="M2" s="2008"/>
      <c r="N2" s="2008"/>
      <c r="O2" s="2008"/>
      <c r="P2" s="2008"/>
      <c r="Q2" s="2008"/>
      <c r="R2" s="2008"/>
      <c r="S2" s="2008"/>
      <c r="T2" s="2008"/>
      <c r="U2" s="2008"/>
      <c r="V2" s="2008"/>
      <c r="W2" s="2421" t="s">
        <v>1732</v>
      </c>
    </row>
    <row r="3" spans="1:24" ht="41.25" customHeight="1" x14ac:dyDescent="0.2">
      <c r="B3" s="2280"/>
      <c r="C3" s="2008"/>
      <c r="D3" s="2008"/>
      <c r="E3" s="2008"/>
      <c r="F3" s="2008"/>
      <c r="G3" s="2008"/>
      <c r="H3" s="2008"/>
      <c r="I3" s="2008"/>
      <c r="J3" s="2008"/>
      <c r="K3" s="2008"/>
      <c r="L3" s="2008"/>
      <c r="M3" s="2008"/>
      <c r="N3" s="2008"/>
      <c r="O3" s="2008"/>
      <c r="P3" s="2008"/>
      <c r="Q3" s="2008"/>
      <c r="R3" s="2008"/>
      <c r="S3" s="2008"/>
      <c r="T3" s="2008"/>
      <c r="U3" s="2008"/>
      <c r="V3" s="2008"/>
      <c r="W3" s="2421"/>
    </row>
    <row r="5" spans="1:24" s="597" customFormat="1" ht="32.25" customHeight="1" x14ac:dyDescent="0.2">
      <c r="A5" s="933"/>
      <c r="B5" s="974"/>
      <c r="C5" s="2422" t="s">
        <v>1570</v>
      </c>
      <c r="D5" s="2422"/>
      <c r="E5" s="2422"/>
      <c r="F5" s="2422"/>
      <c r="G5" s="30"/>
      <c r="H5" s="30"/>
      <c r="I5" s="30"/>
      <c r="J5" s="30"/>
      <c r="K5" s="30"/>
      <c r="L5" s="30"/>
      <c r="M5" s="30"/>
      <c r="N5" s="30"/>
      <c r="O5" s="30"/>
      <c r="P5" s="30"/>
      <c r="Q5" s="599"/>
      <c r="R5" s="599"/>
      <c r="S5" s="599"/>
      <c r="T5" s="599"/>
      <c r="U5" s="934"/>
      <c r="V5" s="599"/>
      <c r="W5" s="301"/>
    </row>
    <row r="6" spans="1:24" s="597" customFormat="1" ht="18" customHeight="1" x14ac:dyDescent="0.25">
      <c r="A6" s="301"/>
      <c r="B6" s="301"/>
      <c r="C6" s="931"/>
      <c r="D6" s="931"/>
      <c r="E6" s="931"/>
      <c r="F6" s="931"/>
      <c r="G6" s="931"/>
      <c r="H6" s="931"/>
      <c r="I6" s="931"/>
      <c r="J6" s="599"/>
      <c r="K6" s="599"/>
      <c r="L6" s="934"/>
      <c r="M6" s="599"/>
      <c r="N6" s="599"/>
      <c r="O6" s="934"/>
      <c r="P6" s="599"/>
      <c r="Q6" s="599"/>
      <c r="R6" s="599"/>
      <c r="S6" s="599"/>
      <c r="T6" s="599"/>
      <c r="U6" s="934"/>
      <c r="V6" s="599"/>
      <c r="W6" s="301"/>
    </row>
    <row r="7" spans="1:24" s="30" customFormat="1" ht="31.9" customHeight="1" x14ac:dyDescent="0.2">
      <c r="B7" s="310" t="s">
        <v>1</v>
      </c>
      <c r="C7" s="2423" t="str">
        <f>+FENECIMIENTO!D5</f>
        <v xml:space="preserve">262 - Empresa de Transporte del Tercer Milenio - Transmilenio S.A. </v>
      </c>
      <c r="D7" s="2424"/>
      <c r="E7" s="1567" t="s">
        <v>754</v>
      </c>
      <c r="F7" s="937">
        <f>+FENECIMIENTO!K5</f>
        <v>2024</v>
      </c>
      <c r="G7" s="938"/>
      <c r="H7" s="938"/>
      <c r="J7" s="938"/>
      <c r="L7" s="939"/>
      <c r="O7" s="939"/>
      <c r="U7" s="939"/>
      <c r="V7" s="940"/>
      <c r="W7" s="763"/>
    </row>
    <row r="8" spans="1:24" s="30" customFormat="1" x14ac:dyDescent="0.2">
      <c r="B8" s="935" t="s">
        <v>848</v>
      </c>
      <c r="C8" s="2459">
        <f>+FENECIMIENTO!D7</f>
        <v>45693</v>
      </c>
      <c r="D8" s="2459"/>
      <c r="E8" s="936" t="s">
        <v>1592</v>
      </c>
      <c r="F8" s="937">
        <f>+FENECIMIENTO!D6</f>
        <v>2025</v>
      </c>
      <c r="G8" s="938"/>
      <c r="H8" s="938"/>
      <c r="J8" s="938"/>
      <c r="L8" s="939"/>
      <c r="O8" s="939"/>
      <c r="U8" s="939"/>
      <c r="W8" s="763"/>
    </row>
    <row r="9" spans="1:24" s="30" customFormat="1" ht="15.75" customHeight="1" x14ac:dyDescent="0.2">
      <c r="B9" s="935" t="s">
        <v>849</v>
      </c>
      <c r="C9" s="2459">
        <f>+FENECIMIENTO!K7</f>
        <v>45693</v>
      </c>
      <c r="D9" s="2459"/>
      <c r="E9" s="941" t="s">
        <v>759</v>
      </c>
      <c r="F9" s="942"/>
      <c r="G9" s="938"/>
      <c r="H9" s="938"/>
      <c r="J9" s="938"/>
      <c r="L9" s="939"/>
      <c r="O9" s="939"/>
      <c r="U9" s="939"/>
      <c r="W9" s="763"/>
    </row>
    <row r="10" spans="1:24" s="30" customFormat="1" ht="11.25" customHeight="1" x14ac:dyDescent="0.2">
      <c r="B10" s="943"/>
      <c r="C10" s="944"/>
      <c r="D10" s="969"/>
      <c r="E10" s="945"/>
      <c r="F10" s="945"/>
      <c r="G10" s="938"/>
      <c r="H10" s="938"/>
      <c r="I10" s="51"/>
      <c r="J10" s="938"/>
      <c r="L10" s="599"/>
      <c r="M10" s="599"/>
      <c r="N10" s="599"/>
      <c r="O10" s="599"/>
      <c r="P10" s="599"/>
      <c r="Q10" s="599"/>
      <c r="R10" s="599"/>
      <c r="S10" s="599"/>
      <c r="T10" s="599"/>
      <c r="U10" s="599"/>
      <c r="V10" s="599"/>
      <c r="W10" s="301"/>
    </row>
    <row r="11" spans="1:24" s="30" customFormat="1" ht="12.75" customHeight="1" x14ac:dyDescent="0.2">
      <c r="B11" s="943"/>
      <c r="C11" s="944"/>
      <c r="D11" s="944"/>
      <c r="E11" s="945"/>
      <c r="F11" s="945"/>
      <c r="G11" s="945"/>
      <c r="H11" s="945"/>
      <c r="I11" s="938"/>
      <c r="J11" s="938"/>
      <c r="K11" s="938"/>
      <c r="L11" s="938"/>
      <c r="M11" s="938"/>
      <c r="N11" s="938"/>
      <c r="O11" s="946" t="b">
        <f>IF(J11="PLANES Y PROYECTOS","",IF(J11="PLAN ESTRATEGICO INSTITUCIONAL o CORPORATIVO o el que haga sus veces",'PLAN ESTRATÉGICO'!Q15))</f>
        <v>0</v>
      </c>
      <c r="P11" s="599"/>
      <c r="Q11" s="599"/>
      <c r="R11" s="599"/>
      <c r="S11" s="599"/>
      <c r="T11" s="599"/>
      <c r="U11" s="599"/>
      <c r="V11" s="599"/>
      <c r="W11" s="301"/>
    </row>
    <row r="12" spans="1:24" ht="24" customHeight="1" x14ac:dyDescent="0.2">
      <c r="B12" s="2460" t="s">
        <v>1787</v>
      </c>
      <c r="C12" s="2460"/>
      <c r="D12" s="2460"/>
      <c r="E12" s="2460"/>
      <c r="F12" s="2460"/>
      <c r="G12" s="2460"/>
      <c r="H12" s="2460"/>
      <c r="I12" s="2460"/>
      <c r="J12" s="2460"/>
      <c r="K12" s="2460"/>
      <c r="L12" s="2460"/>
      <c r="M12" s="2460"/>
      <c r="N12" s="2460"/>
      <c r="O12" s="2460"/>
      <c r="P12" s="2460"/>
      <c r="Q12" s="2460"/>
      <c r="R12" s="2460"/>
      <c r="S12" s="2460"/>
      <c r="T12" s="2460"/>
      <c r="U12" s="2460"/>
      <c r="V12" s="2460"/>
      <c r="W12" s="2460"/>
      <c r="X12" s="2460"/>
    </row>
    <row r="13" spans="1:24" ht="18" customHeight="1" thickBot="1" x14ac:dyDescent="0.25">
      <c r="B13" s="1668"/>
      <c r="C13" s="1668"/>
      <c r="D13" s="1668"/>
      <c r="E13" s="1668"/>
      <c r="F13" s="1668"/>
      <c r="G13" s="1668"/>
      <c r="H13" s="1668"/>
      <c r="I13" s="1668"/>
      <c r="J13" s="1668"/>
      <c r="K13" s="1668"/>
      <c r="L13" s="1668"/>
      <c r="M13" s="1668"/>
      <c r="N13" s="1668"/>
      <c r="O13" s="1668"/>
      <c r="P13" s="1668"/>
      <c r="Q13" s="1668"/>
      <c r="R13" s="1668"/>
      <c r="S13" s="1668"/>
      <c r="T13" s="1668"/>
      <c r="U13" s="1668"/>
      <c r="V13" s="1668"/>
      <c r="W13" s="1668"/>
      <c r="X13" s="1668"/>
    </row>
    <row r="14" spans="1:24" s="948" customFormat="1" ht="22.15" customHeight="1" thickBot="1" x14ac:dyDescent="0.25">
      <c r="B14" s="949"/>
      <c r="C14" s="949"/>
      <c r="D14" s="949"/>
      <c r="E14" s="949"/>
      <c r="F14" s="949"/>
      <c r="G14" s="949"/>
      <c r="H14" s="949"/>
      <c r="I14" s="2474" t="s">
        <v>1772</v>
      </c>
      <c r="J14" s="2474"/>
      <c r="K14" s="2474"/>
      <c r="L14" s="2474"/>
      <c r="M14" s="2474"/>
      <c r="N14" s="2474"/>
      <c r="O14" s="946" t="b">
        <f>IF(J14="PLANES Y PROYECTOS","",IF(J14="PLAN ESTRATEGICO INSTITUCIONAL o CORPORATIVO o el que haga sus veces",'PLAN ESTRATÉGICO'!Q17))</f>
        <v>0</v>
      </c>
      <c r="P14" s="949"/>
      <c r="Q14" s="949"/>
      <c r="R14" s="949"/>
      <c r="S14" s="949"/>
      <c r="T14" s="949"/>
      <c r="U14" s="949"/>
      <c r="V14" s="949"/>
      <c r="W14" s="949"/>
    </row>
    <row r="15" spans="1:24" ht="15" customHeight="1" x14ac:dyDescent="0.2">
      <c r="B15" s="2492" t="s">
        <v>1537</v>
      </c>
      <c r="C15" s="2425" t="s">
        <v>1781</v>
      </c>
      <c r="D15" s="2425" t="s">
        <v>1782</v>
      </c>
      <c r="E15" s="2425" t="s">
        <v>1783</v>
      </c>
      <c r="F15" s="2425" t="s">
        <v>1784</v>
      </c>
      <c r="G15" s="2425" t="s">
        <v>1785</v>
      </c>
      <c r="H15" s="2428" t="s">
        <v>1786</v>
      </c>
      <c r="I15" s="2480" t="s">
        <v>1788</v>
      </c>
      <c r="J15" s="2482" t="s">
        <v>192</v>
      </c>
      <c r="K15" s="2483"/>
      <c r="L15" s="2486" t="s">
        <v>1788</v>
      </c>
      <c r="M15" s="2488" t="s">
        <v>194</v>
      </c>
      <c r="N15" s="2489"/>
      <c r="O15" s="1667"/>
      <c r="P15" s="2427" t="s">
        <v>1803</v>
      </c>
      <c r="Q15" s="2427"/>
      <c r="R15" s="2427"/>
      <c r="S15" s="599"/>
      <c r="T15" s="2494" t="s">
        <v>1809</v>
      </c>
      <c r="U15" s="2495"/>
      <c r="V15" s="2495"/>
      <c r="W15" s="2496"/>
    </row>
    <row r="16" spans="1:24" s="948" customFormat="1" ht="15.75" customHeight="1" x14ac:dyDescent="0.2">
      <c r="B16" s="2493"/>
      <c r="C16" s="2426"/>
      <c r="D16" s="2426"/>
      <c r="E16" s="2426"/>
      <c r="F16" s="2426"/>
      <c r="G16" s="2426"/>
      <c r="H16" s="2429"/>
      <c r="I16" s="2481"/>
      <c r="J16" s="2484"/>
      <c r="K16" s="2485"/>
      <c r="L16" s="2487"/>
      <c r="M16" s="2490"/>
      <c r="N16" s="2491"/>
      <c r="O16" s="599"/>
      <c r="P16" s="1662" t="s">
        <v>1804</v>
      </c>
      <c r="Q16" s="1663" t="s">
        <v>1805</v>
      </c>
      <c r="R16" s="1663" t="s">
        <v>1806</v>
      </c>
      <c r="S16" s="599"/>
      <c r="T16" s="1656" t="s">
        <v>1810</v>
      </c>
      <c r="U16" s="351" t="s">
        <v>1811</v>
      </c>
      <c r="V16" s="1657" t="s">
        <v>1812</v>
      </c>
      <c r="W16" s="1632" t="s">
        <v>1813</v>
      </c>
    </row>
    <row r="17" spans="2:45" s="948" customFormat="1" ht="17.25" customHeight="1" x14ac:dyDescent="0.2">
      <c r="B17" s="2493"/>
      <c r="C17" s="2426"/>
      <c r="D17" s="2426"/>
      <c r="E17" s="2426"/>
      <c r="F17" s="2426"/>
      <c r="G17" s="2426"/>
      <c r="H17" s="2429"/>
      <c r="I17" s="1671" t="s">
        <v>1789</v>
      </c>
      <c r="J17" s="2463">
        <f>IFERROR(AVERAGEIF(I25:I450,"&gt;0",K25:K450)/100,"No Aplica")</f>
        <v>0.78992946269416864</v>
      </c>
      <c r="K17" s="2464"/>
      <c r="L17" s="1670" t="s">
        <v>1789</v>
      </c>
      <c r="M17" s="2463">
        <f>IFERROR(+AVERAGE(M21:W21),"No Aplica")</f>
        <v>0.79688818827863783</v>
      </c>
      <c r="N17" s="2464"/>
      <c r="O17" s="599"/>
      <c r="P17" s="1664" t="s">
        <v>1807</v>
      </c>
      <c r="Q17" s="1665">
        <f>IFERROR(AVERAGEIF($G$25:$G$450,"*Si*",K25:K450),100)</f>
        <v>50</v>
      </c>
      <c r="R17" s="1666" t="str">
        <f>IF(Q17="No Auditado","No Auditado",(IF(Q17&gt;=75,"EFICAZ","INEFICAZ")))</f>
        <v>INEFICAZ</v>
      </c>
      <c r="S17" s="738"/>
      <c r="T17" s="1658">
        <f>IFERROR(AVERAGEIF($G$25:$G$450,"*Si*",N25:N450),"No Aplica")</f>
        <v>83.333333333333343</v>
      </c>
      <c r="U17" s="1659">
        <f>IFERROR(AVERAGEIF($G$25:$G$450,"*Si*",Q25:Q450),"No Aplica")</f>
        <v>0</v>
      </c>
      <c r="V17" s="1660">
        <f>IFERROR(AVERAGEIF($G$25:$G$450,"*Si*",T25:T450),"No Aplica")</f>
        <v>0</v>
      </c>
      <c r="W17" s="1661">
        <f>IFERROR(AVERAGEIF($G$25:$G$450,"*Si*",W25:W450),"No Aplica")</f>
        <v>100</v>
      </c>
    </row>
    <row r="18" spans="2:45" s="948" customFormat="1" ht="14.25" customHeight="1" x14ac:dyDescent="0.2">
      <c r="B18" s="2493"/>
      <c r="C18" s="2426"/>
      <c r="D18" s="2426"/>
      <c r="E18" s="2426"/>
      <c r="F18" s="2426"/>
      <c r="G18" s="2426"/>
      <c r="H18" s="2429"/>
      <c r="I18" s="2470" t="s">
        <v>1790</v>
      </c>
      <c r="J18" s="2472" t="str">
        <f>IF(J17="No Aplica","No Aplica",(IF(J17&gt;=75%,"EFICAZ","INEFICAZ")))</f>
        <v>EFICAZ</v>
      </c>
      <c r="K18" s="2472"/>
      <c r="L18" s="2497" t="s">
        <v>1790</v>
      </c>
      <c r="M18" s="2499" t="str">
        <f>IF(M17="No Aplica","No Aplica",(IF(M17&gt;=75%,"EFICIENTE","INEFICIENTE")))</f>
        <v>EFICIENTE</v>
      </c>
      <c r="N18" s="2500"/>
      <c r="O18" s="599"/>
      <c r="P18" s="1664" t="s">
        <v>1808</v>
      </c>
      <c r="Q18" s="1665">
        <f>IFERROR(AVERAGE($T$17:$W$17),"No Auditado")</f>
        <v>45.833333333333336</v>
      </c>
      <c r="R18" s="1666" t="str">
        <f>IF(Q18="No Auditado","No Auditado",(IF(Q18&gt;=75,"EFICIENTE","INEFICIENTE")))</f>
        <v>INEFICIENTE</v>
      </c>
      <c r="S18" s="599"/>
      <c r="T18" s="599"/>
      <c r="U18" s="599"/>
      <c r="V18" s="599"/>
      <c r="W18" s="301"/>
    </row>
    <row r="19" spans="2:45" s="950" customFormat="1" ht="9" customHeight="1" x14ac:dyDescent="0.25">
      <c r="B19" s="2493"/>
      <c r="C19" s="2426"/>
      <c r="D19" s="2426"/>
      <c r="E19" s="2426"/>
      <c r="F19" s="2426"/>
      <c r="G19" s="2426"/>
      <c r="H19" s="2429"/>
      <c r="I19" s="2471"/>
      <c r="J19" s="2473"/>
      <c r="K19" s="2473"/>
      <c r="L19" s="2498"/>
      <c r="M19" s="2501"/>
      <c r="N19" s="2502"/>
      <c r="O19" s="599"/>
      <c r="P19" s="599"/>
      <c r="Q19" s="599"/>
      <c r="R19" s="599"/>
      <c r="S19" s="599"/>
      <c r="T19" s="599"/>
    </row>
    <row r="20" spans="2:45" s="950" customFormat="1" ht="21.75" customHeight="1" thickBot="1" x14ac:dyDescent="0.3">
      <c r="B20" s="2493"/>
      <c r="C20" s="2426"/>
      <c r="D20" s="2426"/>
      <c r="E20" s="2426"/>
      <c r="F20" s="2426"/>
      <c r="G20" s="2426"/>
      <c r="H20" s="2429"/>
      <c r="I20" s="2465" t="s">
        <v>1773</v>
      </c>
      <c r="J20" s="2465"/>
      <c r="K20" s="2466"/>
      <c r="L20" s="2467" t="s">
        <v>1774</v>
      </c>
      <c r="M20" s="2468"/>
      <c r="N20" s="2469"/>
    </row>
    <row r="21" spans="2:45" s="950" customFormat="1" ht="31.9" customHeight="1" x14ac:dyDescent="0.25">
      <c r="B21" s="2493"/>
      <c r="C21" s="2426"/>
      <c r="D21" s="2426"/>
      <c r="E21" s="2426"/>
      <c r="F21" s="2426"/>
      <c r="G21" s="2426"/>
      <c r="H21" s="2429"/>
      <c r="I21" s="2433" t="s">
        <v>1791</v>
      </c>
      <c r="J21" s="2433"/>
      <c r="K21" s="2434"/>
      <c r="L21" s="1687" t="s">
        <v>1795</v>
      </c>
      <c r="M21" s="2432">
        <f>IFERROR(AVERAGE(N25:N450)/100,"No Aplica")</f>
        <v>0.98025641025641019</v>
      </c>
      <c r="N21" s="2432"/>
      <c r="O21" s="1686" t="s">
        <v>1802</v>
      </c>
      <c r="P21" s="2476">
        <f>IFERROR(AVERAGE(Q25:Q450)/100,"No Aplica")</f>
        <v>0.79008547008547014</v>
      </c>
      <c r="Q21" s="2477"/>
      <c r="R21" s="1685" t="s">
        <v>1814</v>
      </c>
      <c r="S21" s="2476">
        <f>IFERROR(AVERAGE(T25:T450)/100,"No Aplica")</f>
        <v>0.55221087277267056</v>
      </c>
      <c r="T21" s="2477"/>
      <c r="U21" s="1684" t="s">
        <v>1821</v>
      </c>
      <c r="V21" s="2476">
        <f>IFERROR(AVERAGE(W25:W450)/100,"No Aplica")</f>
        <v>0.86499999999999999</v>
      </c>
      <c r="W21" s="2503"/>
    </row>
    <row r="22" spans="2:45" s="951" customFormat="1" ht="22.15" customHeight="1" x14ac:dyDescent="0.25">
      <c r="B22" s="2493"/>
      <c r="C22" s="2426"/>
      <c r="D22" s="2426"/>
      <c r="E22" s="2426"/>
      <c r="F22" s="2426"/>
      <c r="G22" s="2426"/>
      <c r="H22" s="2429"/>
      <c r="I22" s="2435"/>
      <c r="J22" s="2435"/>
      <c r="K22" s="2436"/>
      <c r="L22" s="2441" t="s">
        <v>1796</v>
      </c>
      <c r="M22" s="2442"/>
      <c r="N22" s="2443"/>
      <c r="O22" s="2444" t="s">
        <v>1799</v>
      </c>
      <c r="P22" s="2445"/>
      <c r="Q22" s="2446"/>
      <c r="R22" s="2508" t="s">
        <v>1815</v>
      </c>
      <c r="S22" s="2509"/>
      <c r="T22" s="2510"/>
      <c r="U22" s="2504" t="s">
        <v>1817</v>
      </c>
      <c r="V22" s="2504"/>
      <c r="W22" s="2505"/>
    </row>
    <row r="23" spans="2:45" s="951" customFormat="1" ht="19.149999999999999" customHeight="1" x14ac:dyDescent="0.25">
      <c r="B23" s="2493"/>
      <c r="C23" s="2426"/>
      <c r="D23" s="2426"/>
      <c r="E23" s="2426"/>
      <c r="F23" s="2426"/>
      <c r="G23" s="2426"/>
      <c r="H23" s="2429"/>
      <c r="I23" s="2449" t="s">
        <v>1792</v>
      </c>
      <c r="J23" s="2451" t="s">
        <v>1793</v>
      </c>
      <c r="K23" s="2437" t="s">
        <v>1794</v>
      </c>
      <c r="L23" s="2447" t="s">
        <v>1797</v>
      </c>
      <c r="M23" s="2461" t="s">
        <v>1798</v>
      </c>
      <c r="N23" s="2439" t="s">
        <v>1794</v>
      </c>
      <c r="O23" s="2453" t="s">
        <v>1800</v>
      </c>
      <c r="P23" s="2453" t="s">
        <v>1801</v>
      </c>
      <c r="Q23" s="2430" t="s">
        <v>1794</v>
      </c>
      <c r="R23" s="2478" t="s">
        <v>1801</v>
      </c>
      <c r="S23" s="2478" t="s">
        <v>1816</v>
      </c>
      <c r="T23" s="2506" t="s">
        <v>1794</v>
      </c>
      <c r="U23" s="2475" t="s">
        <v>1818</v>
      </c>
      <c r="V23" s="2475" t="s">
        <v>1819</v>
      </c>
      <c r="W23" s="1637" t="s">
        <v>1820</v>
      </c>
    </row>
    <row r="24" spans="2:45" s="951" customFormat="1" ht="47.25" customHeight="1" x14ac:dyDescent="0.25">
      <c r="B24" s="2493"/>
      <c r="C24" s="2426"/>
      <c r="D24" s="2426"/>
      <c r="E24" s="2426"/>
      <c r="F24" s="2426"/>
      <c r="G24" s="2426"/>
      <c r="H24" s="2429"/>
      <c r="I24" s="2450"/>
      <c r="J24" s="2452"/>
      <c r="K24" s="2438"/>
      <c r="L24" s="2448"/>
      <c r="M24" s="2462"/>
      <c r="N24" s="2440"/>
      <c r="O24" s="2454"/>
      <c r="P24" s="2454"/>
      <c r="Q24" s="2431"/>
      <c r="R24" s="2479"/>
      <c r="S24" s="2479"/>
      <c r="T24" s="2507"/>
      <c r="U24" s="2475"/>
      <c r="V24" s="2475"/>
      <c r="W24" s="1669" t="s">
        <v>1486</v>
      </c>
    </row>
    <row r="25" spans="2:45" s="1514" customFormat="1" x14ac:dyDescent="0.2">
      <c r="B25" s="1639" t="s">
        <v>850</v>
      </c>
      <c r="C25" s="1511" t="s">
        <v>851</v>
      </c>
      <c r="D25" s="1510" t="s">
        <v>852</v>
      </c>
      <c r="E25" s="1435" t="s">
        <v>853</v>
      </c>
      <c r="F25" s="1510" t="s">
        <v>1585</v>
      </c>
      <c r="G25" s="1510" t="s">
        <v>1571</v>
      </c>
      <c r="H25" s="1510">
        <v>1</v>
      </c>
      <c r="I25" s="1512">
        <v>2000</v>
      </c>
      <c r="J25" s="1512">
        <v>1000</v>
      </c>
      <c r="K25" s="1635">
        <f>IF(AND(I25=0,J25=0),"",IF(J25&lt;&gt;0,IF(J25&gt;I25,100,J25/I25*100),0))</f>
        <v>50</v>
      </c>
      <c r="L25" s="1633">
        <v>6000000</v>
      </c>
      <c r="M25" s="1512">
        <v>5000000</v>
      </c>
      <c r="N25" s="1513">
        <f>IF(AND(L25=0,M25=0),"",IF(M25&lt;&gt;0,IF(M25&gt;L25,100,M25/L25*100),0))</f>
        <v>83.333333333333343</v>
      </c>
      <c r="O25" s="1682">
        <f>IF(L25="","",L25)</f>
        <v>6000000</v>
      </c>
      <c r="P25" s="1400">
        <v>0</v>
      </c>
      <c r="Q25" s="1513">
        <f>IF(O25="","",IF(AND(O25=0,P25=0),0,IF(P25&lt;&gt;0,IF(P25&gt;O25,100,P25/O25*100),0)))</f>
        <v>0</v>
      </c>
      <c r="R25" s="1683">
        <f>IF(P25="","",P25)</f>
        <v>0</v>
      </c>
      <c r="S25" s="1400">
        <v>0</v>
      </c>
      <c r="T25" s="1513">
        <f>IF(R25="","",IF(AND(R25=0,S25=0),0,IF(S25&lt;&gt;0,IF(S25&gt;R25,100,S25/R25*100),0)))</f>
        <v>0</v>
      </c>
      <c r="U25" s="1512">
        <v>360</v>
      </c>
      <c r="V25" s="1512">
        <v>380</v>
      </c>
      <c r="W25" s="1638">
        <v>100</v>
      </c>
      <c r="X25" s="955"/>
      <c r="Y25" s="955"/>
      <c r="Z25" s="955"/>
      <c r="AA25" s="955"/>
      <c r="AB25" s="955"/>
      <c r="AC25" s="955"/>
      <c r="AD25" s="955"/>
      <c r="AE25" s="955"/>
      <c r="AF25" s="955"/>
      <c r="AG25" s="955"/>
      <c r="AH25" s="955"/>
      <c r="AI25" s="955"/>
      <c r="AJ25" s="955"/>
      <c r="AK25" s="955"/>
      <c r="AL25" s="955"/>
      <c r="AM25" s="955"/>
      <c r="AN25" s="955"/>
      <c r="AO25" s="955"/>
      <c r="AP25" s="955"/>
      <c r="AQ25" s="955"/>
      <c r="AR25" s="955"/>
      <c r="AS25" s="955"/>
    </row>
    <row r="26" spans="2:45" s="1514" customFormat="1" x14ac:dyDescent="0.2">
      <c r="B26" s="1639" t="s">
        <v>854</v>
      </c>
      <c r="C26" s="1515" t="s">
        <v>851</v>
      </c>
      <c r="D26" s="1510" t="s">
        <v>852</v>
      </c>
      <c r="E26" s="1510" t="s">
        <v>855</v>
      </c>
      <c r="F26" s="1510" t="s">
        <v>1584</v>
      </c>
      <c r="G26" s="1510" t="s">
        <v>1572</v>
      </c>
      <c r="H26" s="1510">
        <v>2</v>
      </c>
      <c r="I26" s="1512">
        <v>3927</v>
      </c>
      <c r="J26" s="1512">
        <v>2000</v>
      </c>
      <c r="K26" s="1635">
        <f t="shared" ref="K26:K89" si="0">IF(AND(I26=0,J26=0),"",IF(J26&lt;&gt;0,IF(J26&gt;I26,100,J26/I26*100),0))</f>
        <v>50.929462694168578</v>
      </c>
      <c r="L26" s="1633">
        <v>4500000</v>
      </c>
      <c r="M26" s="1512">
        <v>4500000</v>
      </c>
      <c r="N26" s="1513">
        <f t="shared" ref="N26:N89" si="1">IF(AND(L26=0,M26=0),"",IF(M26&lt;&gt;0,IF(M26&gt;L26,100,M26/L26*100),0))</f>
        <v>100</v>
      </c>
      <c r="O26" s="1682">
        <f t="shared" ref="O26:O89" si="2">IF(L26="","",L26)</f>
        <v>4500000</v>
      </c>
      <c r="P26" s="1400">
        <v>0</v>
      </c>
      <c r="Q26" s="1513">
        <f t="shared" ref="Q26:Q89" si="3">IF(O26="","",IF(AND(O26=0,P26=0),0,IF(P26&lt;&gt;0,IF(P26&gt;O26,100,P26/O26*100),0)))</f>
        <v>0</v>
      </c>
      <c r="R26" s="1683">
        <f t="shared" ref="R26:R89" si="4">IF(P26="","",P26)</f>
        <v>0</v>
      </c>
      <c r="S26" s="1400">
        <v>0</v>
      </c>
      <c r="T26" s="1513">
        <f t="shared" ref="T26:T89" si="5">IF(R26="","",IF(AND(R26=0,S26=0),0,IF(S26&lt;&gt;0,IF(S26&gt;R26,100,S26/R26*100),0)))</f>
        <v>0</v>
      </c>
      <c r="U26" s="1512">
        <v>80</v>
      </c>
      <c r="V26" s="1512">
        <v>79</v>
      </c>
      <c r="W26" s="1638">
        <v>100</v>
      </c>
      <c r="X26" s="955"/>
      <c r="Y26" s="955"/>
      <c r="Z26" s="955"/>
      <c r="AA26" s="955"/>
      <c r="AB26" s="955"/>
      <c r="AC26" s="955"/>
      <c r="AD26" s="955"/>
      <c r="AE26" s="955"/>
      <c r="AF26" s="955"/>
      <c r="AG26" s="955"/>
      <c r="AH26" s="955"/>
      <c r="AI26" s="955"/>
      <c r="AJ26" s="955"/>
      <c r="AK26" s="955"/>
      <c r="AL26" s="955"/>
      <c r="AM26" s="955"/>
      <c r="AN26" s="955"/>
      <c r="AO26" s="955"/>
      <c r="AP26" s="955"/>
      <c r="AQ26" s="955"/>
      <c r="AR26" s="955"/>
      <c r="AS26" s="955"/>
    </row>
    <row r="27" spans="2:45" s="1514" customFormat="1" x14ac:dyDescent="0.2">
      <c r="B27" s="1639" t="s">
        <v>856</v>
      </c>
      <c r="C27" s="1515" t="s">
        <v>851</v>
      </c>
      <c r="D27" s="1510" t="s">
        <v>852</v>
      </c>
      <c r="E27" s="1435" t="s">
        <v>857</v>
      </c>
      <c r="F27" s="1510" t="s">
        <v>1584</v>
      </c>
      <c r="G27" s="1510" t="s">
        <v>1572</v>
      </c>
      <c r="H27" s="1510">
        <v>1</v>
      </c>
      <c r="I27" s="1512">
        <v>1000</v>
      </c>
      <c r="J27" s="1512">
        <v>540</v>
      </c>
      <c r="K27" s="1635">
        <f t="shared" si="0"/>
        <v>54</v>
      </c>
      <c r="L27" s="1633">
        <v>25000000</v>
      </c>
      <c r="M27" s="1512">
        <v>25000000</v>
      </c>
      <c r="N27" s="1513">
        <f t="shared" si="1"/>
        <v>100</v>
      </c>
      <c r="O27" s="1682">
        <f t="shared" si="2"/>
        <v>25000000</v>
      </c>
      <c r="P27" s="1400">
        <v>60000000</v>
      </c>
      <c r="Q27" s="1513">
        <f t="shared" si="3"/>
        <v>100</v>
      </c>
      <c r="R27" s="1683">
        <f t="shared" si="4"/>
        <v>60000000</v>
      </c>
      <c r="S27" s="1400">
        <v>0</v>
      </c>
      <c r="T27" s="1513">
        <f t="shared" si="5"/>
        <v>0</v>
      </c>
      <c r="U27" s="1512">
        <v>50</v>
      </c>
      <c r="V27" s="1512">
        <v>52</v>
      </c>
      <c r="W27" s="1638">
        <v>89</v>
      </c>
      <c r="X27" s="955"/>
      <c r="Y27" s="955"/>
      <c r="Z27" s="955"/>
      <c r="AA27" s="955"/>
      <c r="AB27" s="955"/>
      <c r="AC27" s="955"/>
      <c r="AD27" s="955"/>
      <c r="AE27" s="955"/>
      <c r="AF27" s="955"/>
      <c r="AG27" s="955"/>
      <c r="AH27" s="955"/>
      <c r="AI27" s="955"/>
      <c r="AJ27" s="955"/>
      <c r="AK27" s="955"/>
      <c r="AL27" s="955"/>
      <c r="AM27" s="955"/>
      <c r="AN27" s="955"/>
      <c r="AO27" s="955"/>
      <c r="AP27" s="955"/>
      <c r="AQ27" s="955"/>
      <c r="AR27" s="955"/>
      <c r="AS27" s="955"/>
    </row>
    <row r="28" spans="2:45" s="1514" customFormat="1" x14ac:dyDescent="0.2">
      <c r="B28" s="1639" t="s">
        <v>856</v>
      </c>
      <c r="C28" s="1515" t="s">
        <v>851</v>
      </c>
      <c r="D28" s="1510" t="s">
        <v>858</v>
      </c>
      <c r="E28" s="1510" t="s">
        <v>853</v>
      </c>
      <c r="F28" s="1510" t="s">
        <v>1584</v>
      </c>
      <c r="G28" s="1510" t="s">
        <v>1572</v>
      </c>
      <c r="H28" s="1510">
        <v>8</v>
      </c>
      <c r="I28" s="1512">
        <v>50000</v>
      </c>
      <c r="J28" s="1512">
        <v>50000</v>
      </c>
      <c r="K28" s="1635">
        <f t="shared" si="0"/>
        <v>100</v>
      </c>
      <c r="L28" s="1633">
        <v>10000000</v>
      </c>
      <c r="M28" s="1512">
        <v>10000000</v>
      </c>
      <c r="N28" s="1513">
        <f t="shared" si="1"/>
        <v>100</v>
      </c>
      <c r="O28" s="1682">
        <f t="shared" si="2"/>
        <v>10000000</v>
      </c>
      <c r="P28" s="1400">
        <v>25000000</v>
      </c>
      <c r="Q28" s="1513">
        <f t="shared" si="3"/>
        <v>100</v>
      </c>
      <c r="R28" s="1683">
        <f t="shared" si="4"/>
        <v>25000000</v>
      </c>
      <c r="S28" s="1400">
        <v>20000000</v>
      </c>
      <c r="T28" s="1513">
        <f t="shared" si="5"/>
        <v>80</v>
      </c>
      <c r="U28" s="1512">
        <v>100</v>
      </c>
      <c r="V28" s="1512">
        <v>120</v>
      </c>
      <c r="W28" s="1638">
        <v>67</v>
      </c>
      <c r="X28" s="955"/>
      <c r="Y28" s="955"/>
      <c r="Z28" s="955"/>
      <c r="AA28" s="955"/>
      <c r="AB28" s="955"/>
      <c r="AC28" s="955"/>
      <c r="AD28" s="955"/>
      <c r="AE28" s="955"/>
      <c r="AF28" s="955"/>
      <c r="AG28" s="955"/>
      <c r="AH28" s="955"/>
      <c r="AI28" s="955"/>
      <c r="AJ28" s="955"/>
      <c r="AK28" s="955"/>
      <c r="AL28" s="955"/>
      <c r="AM28" s="955"/>
      <c r="AN28" s="955"/>
      <c r="AO28" s="955"/>
      <c r="AP28" s="955"/>
      <c r="AQ28" s="955"/>
      <c r="AR28" s="955"/>
      <c r="AS28" s="955"/>
    </row>
    <row r="29" spans="2:45" s="1514" customFormat="1" x14ac:dyDescent="0.2">
      <c r="B29" s="1639" t="s">
        <v>856</v>
      </c>
      <c r="C29" s="1515" t="s">
        <v>859</v>
      </c>
      <c r="D29" s="1510" t="s">
        <v>858</v>
      </c>
      <c r="E29" s="1510" t="s">
        <v>860</v>
      </c>
      <c r="F29" s="1510" t="s">
        <v>1585</v>
      </c>
      <c r="G29" s="1510" t="s">
        <v>1572</v>
      </c>
      <c r="H29" s="1510">
        <v>9</v>
      </c>
      <c r="I29" s="1512">
        <v>25000</v>
      </c>
      <c r="J29" s="1512">
        <v>25000</v>
      </c>
      <c r="K29" s="1635">
        <f t="shared" si="0"/>
        <v>100</v>
      </c>
      <c r="L29" s="1636">
        <v>6000000</v>
      </c>
      <c r="M29" s="1400">
        <v>6000000</v>
      </c>
      <c r="N29" s="1513">
        <f t="shared" si="1"/>
        <v>100</v>
      </c>
      <c r="O29" s="1682">
        <f t="shared" si="2"/>
        <v>6000000</v>
      </c>
      <c r="P29" s="1400">
        <v>45000000</v>
      </c>
      <c r="Q29" s="1513">
        <f t="shared" si="3"/>
        <v>100</v>
      </c>
      <c r="R29" s="1683">
        <f t="shared" si="4"/>
        <v>45000000</v>
      </c>
      <c r="S29" s="1400">
        <v>40000000</v>
      </c>
      <c r="T29" s="1513">
        <f t="shared" si="5"/>
        <v>88.888888888888886</v>
      </c>
      <c r="U29" s="1512">
        <v>25</v>
      </c>
      <c r="V29" s="1512">
        <v>26</v>
      </c>
      <c r="W29" s="1638">
        <v>14</v>
      </c>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row>
    <row r="30" spans="2:45" s="1514" customFormat="1" x14ac:dyDescent="0.2">
      <c r="B30" s="1639" t="s">
        <v>856</v>
      </c>
      <c r="C30" s="1515" t="s">
        <v>859</v>
      </c>
      <c r="D30" s="1510" t="s">
        <v>861</v>
      </c>
      <c r="E30" s="1510" t="s">
        <v>855</v>
      </c>
      <c r="F30" s="1510" t="s">
        <v>1584</v>
      </c>
      <c r="G30" s="1510" t="s">
        <v>1572</v>
      </c>
      <c r="H30" s="1510">
        <v>10</v>
      </c>
      <c r="I30" s="1512">
        <v>10000</v>
      </c>
      <c r="J30" s="1512">
        <v>8000</v>
      </c>
      <c r="K30" s="1635">
        <f t="shared" si="0"/>
        <v>80</v>
      </c>
      <c r="L30" s="1636">
        <v>14000000</v>
      </c>
      <c r="M30" s="1400">
        <v>14000000</v>
      </c>
      <c r="N30" s="1513">
        <f t="shared" si="1"/>
        <v>100</v>
      </c>
      <c r="O30" s="1682">
        <f t="shared" si="2"/>
        <v>14000000</v>
      </c>
      <c r="P30" s="1400">
        <v>78000000</v>
      </c>
      <c r="Q30" s="1513">
        <f t="shared" si="3"/>
        <v>100</v>
      </c>
      <c r="R30" s="1683">
        <f t="shared" si="4"/>
        <v>78000000</v>
      </c>
      <c r="S30" s="1400">
        <v>65000000</v>
      </c>
      <c r="T30" s="1513">
        <f t="shared" si="5"/>
        <v>83.333333333333343</v>
      </c>
      <c r="U30" s="1512">
        <v>40</v>
      </c>
      <c r="V30" s="1512">
        <v>10</v>
      </c>
      <c r="W30" s="1638">
        <v>100</v>
      </c>
      <c r="X30" s="955"/>
      <c r="Y30" s="955"/>
      <c r="Z30" s="955"/>
      <c r="AA30" s="955"/>
      <c r="AB30" s="955"/>
      <c r="AC30" s="955"/>
      <c r="AD30" s="955"/>
      <c r="AE30" s="955"/>
      <c r="AF30" s="955"/>
      <c r="AG30" s="955"/>
      <c r="AH30" s="955"/>
      <c r="AI30" s="955"/>
      <c r="AJ30" s="955"/>
      <c r="AK30" s="955"/>
      <c r="AL30" s="955"/>
      <c r="AM30" s="955"/>
      <c r="AN30" s="955"/>
      <c r="AO30" s="955"/>
      <c r="AP30" s="955"/>
      <c r="AQ30" s="955"/>
      <c r="AR30" s="955"/>
      <c r="AS30" s="955"/>
    </row>
    <row r="31" spans="2:45" s="1514" customFormat="1" x14ac:dyDescent="0.2">
      <c r="B31" s="1639" t="s">
        <v>862</v>
      </c>
      <c r="C31" s="1515" t="s">
        <v>851</v>
      </c>
      <c r="D31" s="1510" t="s">
        <v>863</v>
      </c>
      <c r="E31" s="1510" t="s">
        <v>853</v>
      </c>
      <c r="F31" s="1510" t="s">
        <v>1584</v>
      </c>
      <c r="G31" s="1510" t="s">
        <v>1572</v>
      </c>
      <c r="H31" s="1510">
        <v>11</v>
      </c>
      <c r="I31" s="1512">
        <v>2000</v>
      </c>
      <c r="J31" s="1512">
        <v>1500</v>
      </c>
      <c r="K31" s="1635">
        <f t="shared" si="0"/>
        <v>75</v>
      </c>
      <c r="L31" s="1636">
        <v>5000000</v>
      </c>
      <c r="M31" s="1400">
        <v>6000000</v>
      </c>
      <c r="N31" s="1513">
        <f t="shared" si="1"/>
        <v>100</v>
      </c>
      <c r="O31" s="1682">
        <f t="shared" si="2"/>
        <v>5000000</v>
      </c>
      <c r="P31" s="1400">
        <v>89000000</v>
      </c>
      <c r="Q31" s="1513">
        <f t="shared" si="3"/>
        <v>100</v>
      </c>
      <c r="R31" s="1683">
        <f t="shared" si="4"/>
        <v>89000000</v>
      </c>
      <c r="S31" s="1400">
        <v>80000000</v>
      </c>
      <c r="T31" s="1513">
        <f t="shared" si="5"/>
        <v>89.887640449438194</v>
      </c>
      <c r="U31" s="1512">
        <v>70</v>
      </c>
      <c r="V31" s="1512">
        <v>72</v>
      </c>
      <c r="W31" s="1638">
        <v>95</v>
      </c>
      <c r="X31" s="955"/>
      <c r="Y31" s="955"/>
      <c r="Z31" s="955"/>
      <c r="AA31" s="955"/>
      <c r="AB31" s="955"/>
      <c r="AC31" s="955"/>
      <c r="AD31" s="955"/>
      <c r="AE31" s="955"/>
      <c r="AF31" s="955"/>
      <c r="AG31" s="955"/>
      <c r="AH31" s="955"/>
      <c r="AI31" s="955"/>
      <c r="AJ31" s="955"/>
      <c r="AK31" s="955"/>
      <c r="AL31" s="955"/>
      <c r="AM31" s="955"/>
      <c r="AN31" s="955"/>
      <c r="AO31" s="955"/>
      <c r="AP31" s="955"/>
      <c r="AQ31" s="955"/>
      <c r="AR31" s="955"/>
      <c r="AS31" s="955"/>
    </row>
    <row r="32" spans="2:45" s="1514" customFormat="1" x14ac:dyDescent="0.2">
      <c r="B32" s="1639" t="s">
        <v>862</v>
      </c>
      <c r="C32" s="1515" t="s">
        <v>851</v>
      </c>
      <c r="D32" s="1510" t="s">
        <v>864</v>
      </c>
      <c r="E32" s="1510" t="s">
        <v>855</v>
      </c>
      <c r="F32" s="1510" t="s">
        <v>1584</v>
      </c>
      <c r="G32" s="1510" t="s">
        <v>1572</v>
      </c>
      <c r="H32" s="1510">
        <v>4</v>
      </c>
      <c r="I32" s="1512">
        <v>1000</v>
      </c>
      <c r="J32" s="1512">
        <v>800</v>
      </c>
      <c r="K32" s="1635">
        <f t="shared" si="0"/>
        <v>80</v>
      </c>
      <c r="L32" s="1636">
        <v>56000000</v>
      </c>
      <c r="M32" s="1400">
        <v>56000000</v>
      </c>
      <c r="N32" s="1513">
        <f t="shared" si="1"/>
        <v>100</v>
      </c>
      <c r="O32" s="1682">
        <f t="shared" si="2"/>
        <v>56000000</v>
      </c>
      <c r="P32" s="1400">
        <v>90000000</v>
      </c>
      <c r="Q32" s="1513">
        <f t="shared" si="3"/>
        <v>100</v>
      </c>
      <c r="R32" s="1683">
        <f t="shared" si="4"/>
        <v>90000000</v>
      </c>
      <c r="S32" s="1400">
        <v>65000000</v>
      </c>
      <c r="T32" s="1513">
        <f t="shared" si="5"/>
        <v>72.222222222222214</v>
      </c>
      <c r="U32" s="1512">
        <v>100</v>
      </c>
      <c r="V32" s="1512">
        <v>98</v>
      </c>
      <c r="W32" s="1638">
        <v>100</v>
      </c>
      <c r="X32" s="955"/>
      <c r="Y32" s="955"/>
      <c r="Z32" s="955"/>
      <c r="AA32" s="955"/>
      <c r="AB32" s="955"/>
      <c r="AC32" s="955"/>
      <c r="AD32" s="955"/>
      <c r="AE32" s="955"/>
      <c r="AF32" s="955"/>
      <c r="AG32" s="955"/>
      <c r="AH32" s="955"/>
      <c r="AI32" s="955"/>
      <c r="AJ32" s="955"/>
      <c r="AK32" s="955"/>
      <c r="AL32" s="955"/>
      <c r="AM32" s="955"/>
      <c r="AN32" s="955"/>
      <c r="AO32" s="955"/>
      <c r="AP32" s="955"/>
      <c r="AQ32" s="955"/>
      <c r="AR32" s="955"/>
      <c r="AS32" s="955"/>
    </row>
    <row r="33" spans="2:45" s="1514" customFormat="1" x14ac:dyDescent="0.2">
      <c r="B33" s="1639" t="s">
        <v>862</v>
      </c>
      <c r="C33" s="1515" t="s">
        <v>859</v>
      </c>
      <c r="D33" s="1510" t="s">
        <v>865</v>
      </c>
      <c r="E33" s="1510" t="s">
        <v>853</v>
      </c>
      <c r="F33" s="1510" t="s">
        <v>1584</v>
      </c>
      <c r="G33" s="1510" t="s">
        <v>1572</v>
      </c>
      <c r="H33" s="1510">
        <v>7</v>
      </c>
      <c r="I33" s="1512">
        <v>500</v>
      </c>
      <c r="J33" s="1512">
        <v>500</v>
      </c>
      <c r="K33" s="1635">
        <f t="shared" si="0"/>
        <v>100</v>
      </c>
      <c r="L33" s="1636">
        <v>45000000</v>
      </c>
      <c r="M33" s="1400">
        <v>48000000</v>
      </c>
      <c r="N33" s="1513">
        <f t="shared" si="1"/>
        <v>100</v>
      </c>
      <c r="O33" s="1682">
        <f t="shared" si="2"/>
        <v>45000000</v>
      </c>
      <c r="P33" s="1400">
        <v>44000000</v>
      </c>
      <c r="Q33" s="1513">
        <f t="shared" si="3"/>
        <v>97.777777777777771</v>
      </c>
      <c r="R33" s="1683">
        <f t="shared" si="4"/>
        <v>44000000</v>
      </c>
      <c r="S33" s="1400">
        <v>35000000</v>
      </c>
      <c r="T33" s="1513">
        <f t="shared" si="5"/>
        <v>79.545454545454547</v>
      </c>
      <c r="U33" s="1512">
        <v>365</v>
      </c>
      <c r="V33" s="1512">
        <v>200</v>
      </c>
      <c r="W33" s="1638">
        <v>100</v>
      </c>
      <c r="X33" s="955"/>
      <c r="Y33" s="955"/>
      <c r="Z33" s="955"/>
      <c r="AA33" s="955"/>
      <c r="AB33" s="955"/>
      <c r="AC33" s="955"/>
      <c r="AD33" s="955"/>
      <c r="AE33" s="955"/>
      <c r="AF33" s="955"/>
      <c r="AG33" s="955"/>
      <c r="AH33" s="955"/>
      <c r="AI33" s="955"/>
      <c r="AJ33" s="955"/>
      <c r="AK33" s="955"/>
      <c r="AL33" s="955"/>
      <c r="AM33" s="955"/>
      <c r="AN33" s="955"/>
      <c r="AO33" s="955"/>
      <c r="AP33" s="955"/>
      <c r="AQ33" s="955"/>
      <c r="AR33" s="955"/>
      <c r="AS33" s="955"/>
    </row>
    <row r="34" spans="2:45" s="1514" customFormat="1" x14ac:dyDescent="0.2">
      <c r="B34" s="1640"/>
      <c r="C34" s="1517"/>
      <c r="D34" s="1516"/>
      <c r="E34" s="1510"/>
      <c r="F34" s="1510" t="s">
        <v>1586</v>
      </c>
      <c r="G34" s="1510" t="s">
        <v>1572</v>
      </c>
      <c r="H34" s="1510">
        <v>3</v>
      </c>
      <c r="I34" s="1512">
        <v>1000</v>
      </c>
      <c r="J34" s="1512">
        <v>3000</v>
      </c>
      <c r="K34" s="1635">
        <f t="shared" si="0"/>
        <v>100</v>
      </c>
      <c r="L34" s="1636">
        <v>65000000</v>
      </c>
      <c r="M34" s="1400">
        <v>63000000</v>
      </c>
      <c r="N34" s="1513">
        <f t="shared" si="1"/>
        <v>96.92307692307692</v>
      </c>
      <c r="O34" s="1682">
        <f t="shared" si="2"/>
        <v>65000000</v>
      </c>
      <c r="P34" s="1400">
        <v>60000000</v>
      </c>
      <c r="Q34" s="1513">
        <f t="shared" si="3"/>
        <v>92.307692307692307</v>
      </c>
      <c r="R34" s="1683">
        <f t="shared" si="4"/>
        <v>60000000</v>
      </c>
      <c r="S34" s="1400">
        <v>35000000</v>
      </c>
      <c r="T34" s="1513">
        <f t="shared" si="5"/>
        <v>58.333333333333336</v>
      </c>
      <c r="U34" s="1512">
        <v>250</v>
      </c>
      <c r="V34" s="1512">
        <v>180</v>
      </c>
      <c r="W34" s="1638">
        <v>100</v>
      </c>
      <c r="X34" s="955"/>
      <c r="Y34" s="955"/>
      <c r="Z34" s="955"/>
      <c r="AA34" s="955"/>
      <c r="AB34" s="955"/>
      <c r="AC34" s="955"/>
      <c r="AD34" s="955"/>
      <c r="AE34" s="955"/>
      <c r="AF34" s="955"/>
      <c r="AG34" s="955"/>
      <c r="AH34" s="955"/>
      <c r="AI34" s="955"/>
      <c r="AJ34" s="955"/>
      <c r="AK34" s="955"/>
      <c r="AL34" s="955"/>
      <c r="AM34" s="955"/>
      <c r="AN34" s="955"/>
      <c r="AO34" s="955"/>
      <c r="AP34" s="955"/>
      <c r="AQ34" s="955"/>
      <c r="AR34" s="955"/>
      <c r="AS34" s="955"/>
    </row>
    <row r="35" spans="2:45" s="1514" customFormat="1" x14ac:dyDescent="0.2">
      <c r="B35" s="1640"/>
      <c r="C35" s="1517"/>
      <c r="D35" s="1516"/>
      <c r="E35" s="1518"/>
      <c r="F35" s="1510"/>
      <c r="G35" s="1510"/>
      <c r="H35" s="1510"/>
      <c r="I35" s="1512"/>
      <c r="J35" s="1512"/>
      <c r="K35" s="1635" t="str">
        <f t="shared" si="0"/>
        <v/>
      </c>
      <c r="L35" s="1636"/>
      <c r="M35" s="1400"/>
      <c r="N35" s="1513" t="str">
        <f t="shared" si="1"/>
        <v/>
      </c>
      <c r="O35" s="1682" t="str">
        <f t="shared" si="2"/>
        <v/>
      </c>
      <c r="P35" s="1400"/>
      <c r="Q35" s="1513" t="str">
        <f t="shared" si="3"/>
        <v/>
      </c>
      <c r="R35" s="1683" t="str">
        <f t="shared" si="4"/>
        <v/>
      </c>
      <c r="S35" s="1400"/>
      <c r="T35" s="1513" t="str">
        <f t="shared" si="5"/>
        <v/>
      </c>
      <c r="U35" s="1512"/>
      <c r="V35" s="1512"/>
      <c r="W35" s="1638"/>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row>
    <row r="36" spans="2:45" s="1514" customFormat="1" x14ac:dyDescent="0.2">
      <c r="B36" s="1640"/>
      <c r="C36" s="1517"/>
      <c r="D36" s="1516"/>
      <c r="E36" s="1518"/>
      <c r="F36" s="1510"/>
      <c r="G36" s="1510"/>
      <c r="H36" s="1510"/>
      <c r="I36" s="1512"/>
      <c r="J36" s="1512"/>
      <c r="K36" s="1635" t="str">
        <f t="shared" si="0"/>
        <v/>
      </c>
      <c r="L36" s="1636"/>
      <c r="M36" s="1400"/>
      <c r="N36" s="1513" t="str">
        <f t="shared" si="1"/>
        <v/>
      </c>
      <c r="O36" s="1682" t="str">
        <f t="shared" si="2"/>
        <v/>
      </c>
      <c r="P36" s="1400"/>
      <c r="Q36" s="1513" t="str">
        <f t="shared" si="3"/>
        <v/>
      </c>
      <c r="R36" s="1683" t="str">
        <f t="shared" si="4"/>
        <v/>
      </c>
      <c r="S36" s="1400"/>
      <c r="T36" s="1513" t="str">
        <f t="shared" si="5"/>
        <v/>
      </c>
      <c r="U36" s="1512"/>
      <c r="V36" s="1512"/>
      <c r="W36" s="1638"/>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row>
    <row r="37" spans="2:45" s="1514" customFormat="1" x14ac:dyDescent="0.2">
      <c r="B37" s="1640"/>
      <c r="C37" s="1517"/>
      <c r="D37" s="1516"/>
      <c r="E37" s="1518"/>
      <c r="F37" s="1510"/>
      <c r="G37" s="1510"/>
      <c r="H37" s="1510"/>
      <c r="I37" s="1512"/>
      <c r="J37" s="1512"/>
      <c r="K37" s="1635" t="str">
        <f t="shared" si="0"/>
        <v/>
      </c>
      <c r="L37" s="1636"/>
      <c r="M37" s="1400"/>
      <c r="N37" s="1513" t="str">
        <f t="shared" si="1"/>
        <v/>
      </c>
      <c r="O37" s="1682" t="str">
        <f t="shared" si="2"/>
        <v/>
      </c>
      <c r="P37" s="1400"/>
      <c r="Q37" s="1513" t="str">
        <f t="shared" si="3"/>
        <v/>
      </c>
      <c r="R37" s="1683" t="str">
        <f t="shared" si="4"/>
        <v/>
      </c>
      <c r="S37" s="1400"/>
      <c r="T37" s="1513" t="str">
        <f t="shared" si="5"/>
        <v/>
      </c>
      <c r="U37" s="1512"/>
      <c r="V37" s="1512"/>
      <c r="W37" s="1638"/>
      <c r="X37" s="955"/>
      <c r="Y37" s="955"/>
      <c r="Z37" s="955"/>
      <c r="AA37" s="955"/>
      <c r="AB37" s="955"/>
      <c r="AC37" s="955"/>
      <c r="AD37" s="955"/>
      <c r="AE37" s="955"/>
      <c r="AF37" s="955"/>
      <c r="AG37" s="955"/>
      <c r="AH37" s="955"/>
      <c r="AI37" s="955"/>
      <c r="AJ37" s="955"/>
      <c r="AK37" s="955"/>
      <c r="AL37" s="955"/>
      <c r="AM37" s="955"/>
      <c r="AN37" s="955"/>
      <c r="AO37" s="955"/>
      <c r="AP37" s="955"/>
      <c r="AQ37" s="955"/>
      <c r="AR37" s="955"/>
      <c r="AS37" s="955"/>
    </row>
    <row r="38" spans="2:45" s="1514" customFormat="1" x14ac:dyDescent="0.2">
      <c r="B38" s="1640"/>
      <c r="C38" s="1517"/>
      <c r="D38" s="1516"/>
      <c r="E38" s="1518"/>
      <c r="F38" s="1510"/>
      <c r="G38" s="1510"/>
      <c r="H38" s="1510"/>
      <c r="I38" s="1512"/>
      <c r="J38" s="1512"/>
      <c r="K38" s="1635" t="str">
        <f t="shared" si="0"/>
        <v/>
      </c>
      <c r="L38" s="1636"/>
      <c r="M38" s="1400"/>
      <c r="N38" s="1513" t="str">
        <f t="shared" si="1"/>
        <v/>
      </c>
      <c r="O38" s="1682" t="str">
        <f t="shared" si="2"/>
        <v/>
      </c>
      <c r="P38" s="1400"/>
      <c r="Q38" s="1513" t="str">
        <f t="shared" si="3"/>
        <v/>
      </c>
      <c r="R38" s="1683" t="str">
        <f t="shared" si="4"/>
        <v/>
      </c>
      <c r="S38" s="1400"/>
      <c r="T38" s="1513" t="str">
        <f t="shared" si="5"/>
        <v/>
      </c>
      <c r="U38" s="1512"/>
      <c r="V38" s="1512"/>
      <c r="W38" s="1638"/>
      <c r="X38" s="955"/>
      <c r="Y38" s="955"/>
      <c r="Z38" s="955"/>
      <c r="AA38" s="955"/>
      <c r="AB38" s="955"/>
      <c r="AC38" s="955"/>
      <c r="AD38" s="955"/>
      <c r="AE38" s="955"/>
      <c r="AF38" s="955"/>
      <c r="AG38" s="955"/>
      <c r="AH38" s="955"/>
      <c r="AI38" s="955"/>
      <c r="AJ38" s="955"/>
      <c r="AK38" s="955"/>
      <c r="AL38" s="955"/>
      <c r="AM38" s="955"/>
      <c r="AN38" s="955"/>
      <c r="AO38" s="955"/>
      <c r="AP38" s="955"/>
      <c r="AQ38" s="955"/>
      <c r="AR38" s="955"/>
      <c r="AS38" s="955"/>
    </row>
    <row r="39" spans="2:45" s="1514" customFormat="1" x14ac:dyDescent="0.2">
      <c r="B39" s="1640"/>
      <c r="C39" s="1517"/>
      <c r="D39" s="1516"/>
      <c r="E39" s="1518"/>
      <c r="F39" s="1510"/>
      <c r="G39" s="1510"/>
      <c r="H39" s="1510"/>
      <c r="I39" s="1512"/>
      <c r="J39" s="1512"/>
      <c r="K39" s="1635" t="str">
        <f t="shared" si="0"/>
        <v/>
      </c>
      <c r="L39" s="1636"/>
      <c r="M39" s="1400"/>
      <c r="N39" s="1513" t="str">
        <f t="shared" si="1"/>
        <v/>
      </c>
      <c r="O39" s="1682" t="str">
        <f t="shared" si="2"/>
        <v/>
      </c>
      <c r="P39" s="1400"/>
      <c r="Q39" s="1513" t="str">
        <f t="shared" si="3"/>
        <v/>
      </c>
      <c r="R39" s="1683" t="str">
        <f t="shared" si="4"/>
        <v/>
      </c>
      <c r="S39" s="1400"/>
      <c r="T39" s="1513" t="str">
        <f t="shared" si="5"/>
        <v/>
      </c>
      <c r="U39" s="1512"/>
      <c r="V39" s="1512"/>
      <c r="W39" s="1638"/>
      <c r="X39" s="955"/>
      <c r="Y39" s="955"/>
      <c r="Z39" s="955"/>
      <c r="AA39" s="955"/>
      <c r="AB39" s="955"/>
      <c r="AC39" s="955"/>
      <c r="AD39" s="955"/>
      <c r="AE39" s="955"/>
      <c r="AF39" s="955"/>
      <c r="AG39" s="955"/>
      <c r="AH39" s="955"/>
      <c r="AI39" s="955"/>
      <c r="AJ39" s="955"/>
      <c r="AK39" s="955"/>
      <c r="AL39" s="955"/>
      <c r="AM39" s="955"/>
      <c r="AN39" s="955"/>
      <c r="AO39" s="955"/>
      <c r="AP39" s="955"/>
      <c r="AQ39" s="955"/>
      <c r="AR39" s="955"/>
      <c r="AS39" s="955"/>
    </row>
    <row r="40" spans="2:45" s="1514" customFormat="1" x14ac:dyDescent="0.2">
      <c r="B40" s="1640"/>
      <c r="C40" s="1517"/>
      <c r="D40" s="1516"/>
      <c r="E40" s="1518"/>
      <c r="F40" s="1510"/>
      <c r="G40" s="1510"/>
      <c r="H40" s="1510"/>
      <c r="I40" s="1512"/>
      <c r="J40" s="1512"/>
      <c r="K40" s="1635" t="str">
        <f t="shared" si="0"/>
        <v/>
      </c>
      <c r="L40" s="1636"/>
      <c r="M40" s="1400"/>
      <c r="N40" s="1513" t="str">
        <f t="shared" si="1"/>
        <v/>
      </c>
      <c r="O40" s="1682" t="str">
        <f t="shared" si="2"/>
        <v/>
      </c>
      <c r="P40" s="1400"/>
      <c r="Q40" s="1513" t="str">
        <f t="shared" si="3"/>
        <v/>
      </c>
      <c r="R40" s="1683" t="str">
        <f t="shared" si="4"/>
        <v/>
      </c>
      <c r="S40" s="1400"/>
      <c r="T40" s="1513" t="str">
        <f t="shared" si="5"/>
        <v/>
      </c>
      <c r="U40" s="1512"/>
      <c r="V40" s="1512"/>
      <c r="W40" s="1638"/>
      <c r="X40" s="955"/>
      <c r="Y40" s="955"/>
      <c r="Z40" s="955"/>
      <c r="AA40" s="955"/>
      <c r="AB40" s="955"/>
      <c r="AC40" s="955"/>
      <c r="AD40" s="955"/>
      <c r="AE40" s="955"/>
      <c r="AF40" s="955"/>
      <c r="AG40" s="955"/>
      <c r="AH40" s="955"/>
      <c r="AI40" s="955"/>
      <c r="AJ40" s="955"/>
      <c r="AK40" s="955"/>
      <c r="AL40" s="955"/>
      <c r="AM40" s="955"/>
      <c r="AN40" s="955"/>
      <c r="AO40" s="955"/>
      <c r="AP40" s="955"/>
      <c r="AQ40" s="955"/>
      <c r="AR40" s="955"/>
      <c r="AS40" s="955"/>
    </row>
    <row r="41" spans="2:45" s="1514" customFormat="1" x14ac:dyDescent="0.2">
      <c r="B41" s="1640"/>
      <c r="C41" s="1517"/>
      <c r="D41" s="1516"/>
      <c r="E41" s="1518"/>
      <c r="F41" s="1510"/>
      <c r="G41" s="1510"/>
      <c r="H41" s="1510"/>
      <c r="I41" s="1512"/>
      <c r="J41" s="1512"/>
      <c r="K41" s="1635" t="str">
        <f t="shared" si="0"/>
        <v/>
      </c>
      <c r="L41" s="1636"/>
      <c r="M41" s="1400"/>
      <c r="N41" s="1513" t="str">
        <f t="shared" si="1"/>
        <v/>
      </c>
      <c r="O41" s="1682" t="str">
        <f t="shared" si="2"/>
        <v/>
      </c>
      <c r="P41" s="1400"/>
      <c r="Q41" s="1513" t="str">
        <f t="shared" si="3"/>
        <v/>
      </c>
      <c r="R41" s="1683" t="str">
        <f t="shared" si="4"/>
        <v/>
      </c>
      <c r="S41" s="1400"/>
      <c r="T41" s="1513" t="str">
        <f t="shared" si="5"/>
        <v/>
      </c>
      <c r="U41" s="1512"/>
      <c r="V41" s="1512"/>
      <c r="W41" s="1638"/>
      <c r="X41" s="955"/>
      <c r="Y41" s="955"/>
      <c r="Z41" s="955"/>
      <c r="AA41" s="955"/>
      <c r="AB41" s="955"/>
      <c r="AC41" s="955"/>
      <c r="AD41" s="955"/>
      <c r="AE41" s="955"/>
      <c r="AF41" s="955"/>
      <c r="AG41" s="955"/>
      <c r="AH41" s="955"/>
      <c r="AI41" s="955"/>
      <c r="AJ41" s="955"/>
      <c r="AK41" s="955"/>
      <c r="AL41" s="955"/>
      <c r="AM41" s="955"/>
      <c r="AN41" s="955"/>
      <c r="AO41" s="955"/>
      <c r="AP41" s="955"/>
      <c r="AQ41" s="955"/>
      <c r="AR41" s="955"/>
      <c r="AS41" s="955"/>
    </row>
    <row r="42" spans="2:45" s="1514" customFormat="1" x14ac:dyDescent="0.2">
      <c r="B42" s="1640"/>
      <c r="C42" s="1517"/>
      <c r="D42" s="1516"/>
      <c r="E42" s="1518"/>
      <c r="F42" s="1510"/>
      <c r="G42" s="1510"/>
      <c r="H42" s="1510"/>
      <c r="I42" s="1512"/>
      <c r="J42" s="1512"/>
      <c r="K42" s="1635" t="str">
        <f t="shared" si="0"/>
        <v/>
      </c>
      <c r="L42" s="1636"/>
      <c r="M42" s="1400"/>
      <c r="N42" s="1513" t="str">
        <f t="shared" si="1"/>
        <v/>
      </c>
      <c r="O42" s="1682" t="str">
        <f t="shared" si="2"/>
        <v/>
      </c>
      <c r="P42" s="1400"/>
      <c r="Q42" s="1513" t="str">
        <f t="shared" si="3"/>
        <v/>
      </c>
      <c r="R42" s="1683" t="str">
        <f t="shared" si="4"/>
        <v/>
      </c>
      <c r="S42" s="1400"/>
      <c r="T42" s="1513" t="str">
        <f t="shared" si="5"/>
        <v/>
      </c>
      <c r="U42" s="1512"/>
      <c r="V42" s="1512"/>
      <c r="W42" s="1638"/>
      <c r="X42" s="955"/>
      <c r="Y42" s="955"/>
      <c r="Z42" s="955"/>
      <c r="AA42" s="955"/>
      <c r="AB42" s="955"/>
      <c r="AC42" s="955"/>
      <c r="AD42" s="955"/>
      <c r="AE42" s="955"/>
      <c r="AF42" s="955"/>
      <c r="AG42" s="955"/>
      <c r="AH42" s="955"/>
      <c r="AI42" s="955"/>
      <c r="AJ42" s="955"/>
      <c r="AK42" s="955"/>
      <c r="AL42" s="955"/>
      <c r="AM42" s="955"/>
      <c r="AN42" s="955"/>
      <c r="AO42" s="955"/>
      <c r="AP42" s="955"/>
      <c r="AQ42" s="955"/>
      <c r="AR42" s="955"/>
      <c r="AS42" s="955"/>
    </row>
    <row r="43" spans="2:45" s="1514" customFormat="1" x14ac:dyDescent="0.2">
      <c r="B43" s="1640"/>
      <c r="C43" s="1517"/>
      <c r="D43" s="1516"/>
      <c r="E43" s="1518"/>
      <c r="F43" s="1510"/>
      <c r="G43" s="1510"/>
      <c r="H43" s="1510"/>
      <c r="I43" s="1512"/>
      <c r="J43" s="1512"/>
      <c r="K43" s="1635" t="str">
        <f t="shared" si="0"/>
        <v/>
      </c>
      <c r="L43" s="1636"/>
      <c r="M43" s="1400"/>
      <c r="N43" s="1513" t="str">
        <f t="shared" si="1"/>
        <v/>
      </c>
      <c r="O43" s="1682" t="str">
        <f t="shared" si="2"/>
        <v/>
      </c>
      <c r="P43" s="1400"/>
      <c r="Q43" s="1513" t="str">
        <f t="shared" si="3"/>
        <v/>
      </c>
      <c r="R43" s="1683" t="str">
        <f t="shared" si="4"/>
        <v/>
      </c>
      <c r="S43" s="1400"/>
      <c r="T43" s="1513" t="str">
        <f t="shared" si="5"/>
        <v/>
      </c>
      <c r="U43" s="1512"/>
      <c r="V43" s="1512"/>
      <c r="W43" s="1638"/>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row>
    <row r="44" spans="2:45" s="1514" customFormat="1" x14ac:dyDescent="0.2">
      <c r="B44" s="1640"/>
      <c r="C44" s="1517"/>
      <c r="D44" s="1516"/>
      <c r="E44" s="1518"/>
      <c r="F44" s="1510"/>
      <c r="G44" s="1510"/>
      <c r="H44" s="1510"/>
      <c r="I44" s="1512"/>
      <c r="J44" s="1512"/>
      <c r="K44" s="1635" t="str">
        <f t="shared" si="0"/>
        <v/>
      </c>
      <c r="L44" s="1636"/>
      <c r="M44" s="1400"/>
      <c r="N44" s="1513" t="str">
        <f t="shared" si="1"/>
        <v/>
      </c>
      <c r="O44" s="1682" t="str">
        <f t="shared" si="2"/>
        <v/>
      </c>
      <c r="P44" s="1400"/>
      <c r="Q44" s="1513" t="str">
        <f t="shared" si="3"/>
        <v/>
      </c>
      <c r="R44" s="1683" t="str">
        <f t="shared" si="4"/>
        <v/>
      </c>
      <c r="S44" s="1400"/>
      <c r="T44" s="1513" t="str">
        <f t="shared" si="5"/>
        <v/>
      </c>
      <c r="U44" s="1512"/>
      <c r="V44" s="1512"/>
      <c r="W44" s="1638"/>
      <c r="X44" s="955"/>
      <c r="Y44" s="955"/>
      <c r="Z44" s="955"/>
      <c r="AA44" s="955"/>
      <c r="AB44" s="955"/>
      <c r="AC44" s="955"/>
      <c r="AD44" s="955"/>
      <c r="AE44" s="955"/>
      <c r="AF44" s="955"/>
      <c r="AG44" s="955"/>
      <c r="AH44" s="955"/>
      <c r="AI44" s="955"/>
      <c r="AJ44" s="955"/>
      <c r="AK44" s="955"/>
      <c r="AL44" s="955"/>
      <c r="AM44" s="955"/>
      <c r="AN44" s="955"/>
      <c r="AO44" s="955"/>
      <c r="AP44" s="955"/>
      <c r="AQ44" s="955"/>
      <c r="AR44" s="955"/>
      <c r="AS44" s="955"/>
    </row>
    <row r="45" spans="2:45" s="1514" customFormat="1" x14ac:dyDescent="0.2">
      <c r="B45" s="1640"/>
      <c r="C45" s="1517"/>
      <c r="D45" s="1516"/>
      <c r="E45" s="1518"/>
      <c r="F45" s="1510"/>
      <c r="G45" s="1510"/>
      <c r="H45" s="1510"/>
      <c r="I45" s="1512"/>
      <c r="J45" s="1512"/>
      <c r="K45" s="1635" t="str">
        <f t="shared" si="0"/>
        <v/>
      </c>
      <c r="L45" s="1636"/>
      <c r="M45" s="1400"/>
      <c r="N45" s="1513" t="str">
        <f t="shared" si="1"/>
        <v/>
      </c>
      <c r="O45" s="1682" t="str">
        <f t="shared" si="2"/>
        <v/>
      </c>
      <c r="P45" s="1400"/>
      <c r="Q45" s="1513" t="str">
        <f t="shared" si="3"/>
        <v/>
      </c>
      <c r="R45" s="1683" t="str">
        <f t="shared" si="4"/>
        <v/>
      </c>
      <c r="S45" s="1400"/>
      <c r="T45" s="1513" t="str">
        <f t="shared" si="5"/>
        <v/>
      </c>
      <c r="U45" s="1512"/>
      <c r="V45" s="1512"/>
      <c r="W45" s="1638"/>
      <c r="X45" s="955"/>
      <c r="Y45" s="955"/>
      <c r="Z45" s="955"/>
      <c r="AA45" s="955"/>
      <c r="AB45" s="955"/>
      <c r="AC45" s="955"/>
      <c r="AD45" s="955"/>
      <c r="AE45" s="955"/>
      <c r="AF45" s="955"/>
      <c r="AG45" s="955"/>
      <c r="AH45" s="955"/>
      <c r="AI45" s="955"/>
      <c r="AJ45" s="955"/>
      <c r="AK45" s="955"/>
      <c r="AL45" s="955"/>
      <c r="AM45" s="955"/>
      <c r="AN45" s="955"/>
      <c r="AO45" s="955"/>
      <c r="AP45" s="955"/>
      <c r="AQ45" s="955"/>
      <c r="AR45" s="955"/>
      <c r="AS45" s="955"/>
    </row>
    <row r="46" spans="2:45" s="1514" customFormat="1" x14ac:dyDescent="0.2">
      <c r="B46" s="1640"/>
      <c r="C46" s="1517"/>
      <c r="D46" s="1516"/>
      <c r="E46" s="1518"/>
      <c r="F46" s="1510"/>
      <c r="G46" s="1510"/>
      <c r="H46" s="1510"/>
      <c r="I46" s="1512"/>
      <c r="J46" s="1512"/>
      <c r="K46" s="1635" t="str">
        <f t="shared" si="0"/>
        <v/>
      </c>
      <c r="L46" s="1636"/>
      <c r="M46" s="1400"/>
      <c r="N46" s="1513" t="str">
        <f t="shared" si="1"/>
        <v/>
      </c>
      <c r="O46" s="1682" t="str">
        <f t="shared" si="2"/>
        <v/>
      </c>
      <c r="P46" s="1400"/>
      <c r="Q46" s="1513" t="str">
        <f t="shared" si="3"/>
        <v/>
      </c>
      <c r="R46" s="1683" t="str">
        <f t="shared" si="4"/>
        <v/>
      </c>
      <c r="S46" s="1400"/>
      <c r="T46" s="1513" t="str">
        <f t="shared" si="5"/>
        <v/>
      </c>
      <c r="U46" s="1512"/>
      <c r="V46" s="1512"/>
      <c r="W46" s="1638"/>
      <c r="X46" s="955"/>
      <c r="Y46" s="955"/>
      <c r="Z46" s="955"/>
      <c r="AA46" s="955"/>
      <c r="AB46" s="955"/>
      <c r="AC46" s="955"/>
      <c r="AD46" s="955"/>
      <c r="AE46" s="955"/>
      <c r="AF46" s="955"/>
      <c r="AG46" s="955"/>
      <c r="AH46" s="955"/>
      <c r="AI46" s="955"/>
      <c r="AJ46" s="955"/>
      <c r="AK46" s="955"/>
      <c r="AL46" s="955"/>
      <c r="AM46" s="955"/>
      <c r="AN46" s="955"/>
      <c r="AO46" s="955"/>
      <c r="AP46" s="955"/>
      <c r="AQ46" s="955"/>
      <c r="AR46" s="955"/>
      <c r="AS46" s="955"/>
    </row>
    <row r="47" spans="2:45" s="1514" customFormat="1" x14ac:dyDescent="0.2">
      <c r="B47" s="1640"/>
      <c r="C47" s="1517"/>
      <c r="D47" s="1516"/>
      <c r="E47" s="1518"/>
      <c r="F47" s="1510"/>
      <c r="G47" s="1510"/>
      <c r="H47" s="1510"/>
      <c r="I47" s="1512"/>
      <c r="J47" s="1512"/>
      <c r="K47" s="1635" t="str">
        <f t="shared" si="0"/>
        <v/>
      </c>
      <c r="L47" s="1636"/>
      <c r="M47" s="1400"/>
      <c r="N47" s="1513" t="str">
        <f t="shared" si="1"/>
        <v/>
      </c>
      <c r="O47" s="1682" t="str">
        <f t="shared" si="2"/>
        <v/>
      </c>
      <c r="P47" s="1400"/>
      <c r="Q47" s="1513" t="str">
        <f t="shared" si="3"/>
        <v/>
      </c>
      <c r="R47" s="1683" t="str">
        <f t="shared" si="4"/>
        <v/>
      </c>
      <c r="S47" s="1400"/>
      <c r="T47" s="1513" t="str">
        <f t="shared" si="5"/>
        <v/>
      </c>
      <c r="U47" s="1512"/>
      <c r="V47" s="1512"/>
      <c r="W47" s="1638"/>
      <c r="X47" s="955"/>
      <c r="Y47" s="955"/>
      <c r="Z47" s="955"/>
      <c r="AA47" s="955"/>
      <c r="AB47" s="955"/>
      <c r="AC47" s="955"/>
      <c r="AD47" s="955"/>
      <c r="AE47" s="955"/>
      <c r="AF47" s="955"/>
      <c r="AG47" s="955"/>
      <c r="AH47" s="955"/>
      <c r="AI47" s="955"/>
      <c r="AJ47" s="955"/>
      <c r="AK47" s="955"/>
      <c r="AL47" s="955"/>
      <c r="AM47" s="955"/>
      <c r="AN47" s="955"/>
      <c r="AO47" s="955"/>
      <c r="AP47" s="955"/>
      <c r="AQ47" s="955"/>
      <c r="AR47" s="955"/>
      <c r="AS47" s="955"/>
    </row>
    <row r="48" spans="2:45" s="1514" customFormat="1" x14ac:dyDescent="0.2">
      <c r="B48" s="1640"/>
      <c r="C48" s="1517"/>
      <c r="D48" s="1516"/>
      <c r="E48" s="1518"/>
      <c r="F48" s="1510"/>
      <c r="G48" s="1510"/>
      <c r="H48" s="1510"/>
      <c r="I48" s="1512"/>
      <c r="J48" s="1512"/>
      <c r="K48" s="1635" t="str">
        <f t="shared" si="0"/>
        <v/>
      </c>
      <c r="L48" s="1636"/>
      <c r="M48" s="1400"/>
      <c r="N48" s="1513" t="str">
        <f t="shared" si="1"/>
        <v/>
      </c>
      <c r="O48" s="1682" t="str">
        <f t="shared" si="2"/>
        <v/>
      </c>
      <c r="P48" s="1400"/>
      <c r="Q48" s="1513" t="str">
        <f t="shared" si="3"/>
        <v/>
      </c>
      <c r="R48" s="1683" t="str">
        <f t="shared" si="4"/>
        <v/>
      </c>
      <c r="S48" s="1400"/>
      <c r="T48" s="1513" t="str">
        <f t="shared" si="5"/>
        <v/>
      </c>
      <c r="U48" s="1512"/>
      <c r="V48" s="1512"/>
      <c r="W48" s="1638"/>
      <c r="X48" s="955"/>
      <c r="Y48" s="955"/>
      <c r="Z48" s="955"/>
      <c r="AA48" s="955"/>
      <c r="AB48" s="955"/>
      <c r="AC48" s="955"/>
      <c r="AD48" s="955"/>
      <c r="AE48" s="955"/>
      <c r="AF48" s="955"/>
      <c r="AG48" s="955"/>
      <c r="AH48" s="955"/>
      <c r="AI48" s="955"/>
      <c r="AJ48" s="955"/>
      <c r="AK48" s="955"/>
      <c r="AL48" s="955"/>
      <c r="AM48" s="955"/>
      <c r="AN48" s="955"/>
      <c r="AO48" s="955"/>
      <c r="AP48" s="955"/>
      <c r="AQ48" s="955"/>
      <c r="AR48" s="955"/>
      <c r="AS48" s="955"/>
    </row>
    <row r="49" spans="2:45" s="1514" customFormat="1" x14ac:dyDescent="0.2">
      <c r="B49" s="1640"/>
      <c r="C49" s="1517"/>
      <c r="D49" s="1516"/>
      <c r="E49" s="1518"/>
      <c r="F49" s="1510"/>
      <c r="G49" s="1510"/>
      <c r="H49" s="1510"/>
      <c r="I49" s="1512"/>
      <c r="J49" s="1512"/>
      <c r="K49" s="1635" t="str">
        <f t="shared" si="0"/>
        <v/>
      </c>
      <c r="L49" s="1636"/>
      <c r="M49" s="1400"/>
      <c r="N49" s="1513" t="str">
        <f t="shared" si="1"/>
        <v/>
      </c>
      <c r="O49" s="1682" t="str">
        <f t="shared" si="2"/>
        <v/>
      </c>
      <c r="P49" s="1400"/>
      <c r="Q49" s="1513" t="str">
        <f t="shared" si="3"/>
        <v/>
      </c>
      <c r="R49" s="1683" t="str">
        <f t="shared" si="4"/>
        <v/>
      </c>
      <c r="S49" s="1400"/>
      <c r="T49" s="1513" t="str">
        <f t="shared" si="5"/>
        <v/>
      </c>
      <c r="U49" s="1512"/>
      <c r="V49" s="1512"/>
      <c r="W49" s="1638"/>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row>
    <row r="50" spans="2:45" s="1514" customFormat="1" x14ac:dyDescent="0.2">
      <c r="B50" s="1640"/>
      <c r="C50" s="1517"/>
      <c r="D50" s="1516"/>
      <c r="E50" s="1518"/>
      <c r="F50" s="1510"/>
      <c r="G50" s="1510"/>
      <c r="H50" s="1510"/>
      <c r="I50" s="1512"/>
      <c r="J50" s="1512"/>
      <c r="K50" s="1635" t="str">
        <f t="shared" si="0"/>
        <v/>
      </c>
      <c r="L50" s="1636"/>
      <c r="M50" s="1400"/>
      <c r="N50" s="1513" t="str">
        <f t="shared" si="1"/>
        <v/>
      </c>
      <c r="O50" s="1682" t="str">
        <f t="shared" si="2"/>
        <v/>
      </c>
      <c r="P50" s="1400"/>
      <c r="Q50" s="1513" t="str">
        <f t="shared" si="3"/>
        <v/>
      </c>
      <c r="R50" s="1683" t="str">
        <f t="shared" si="4"/>
        <v/>
      </c>
      <c r="S50" s="1400"/>
      <c r="T50" s="1513" t="str">
        <f t="shared" si="5"/>
        <v/>
      </c>
      <c r="U50" s="1512"/>
      <c r="V50" s="1512"/>
      <c r="W50" s="1638"/>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row>
    <row r="51" spans="2:45" s="1514" customFormat="1" x14ac:dyDescent="0.2">
      <c r="B51" s="1640"/>
      <c r="C51" s="1517"/>
      <c r="D51" s="1516"/>
      <c r="E51" s="1518"/>
      <c r="F51" s="1510"/>
      <c r="G51" s="1510"/>
      <c r="H51" s="1510"/>
      <c r="I51" s="1512"/>
      <c r="J51" s="1512"/>
      <c r="K51" s="1635" t="str">
        <f t="shared" si="0"/>
        <v/>
      </c>
      <c r="L51" s="1636"/>
      <c r="M51" s="1400"/>
      <c r="N51" s="1513" t="str">
        <f t="shared" si="1"/>
        <v/>
      </c>
      <c r="O51" s="1682" t="str">
        <f t="shared" si="2"/>
        <v/>
      </c>
      <c r="P51" s="1400"/>
      <c r="Q51" s="1513" t="str">
        <f t="shared" si="3"/>
        <v/>
      </c>
      <c r="R51" s="1683" t="str">
        <f t="shared" si="4"/>
        <v/>
      </c>
      <c r="S51" s="1400"/>
      <c r="T51" s="1513" t="str">
        <f t="shared" si="5"/>
        <v/>
      </c>
      <c r="U51" s="1512"/>
      <c r="V51" s="1512"/>
      <c r="W51" s="1638"/>
      <c r="X51" s="955"/>
      <c r="Y51" s="955"/>
      <c r="Z51" s="955"/>
      <c r="AA51" s="955"/>
      <c r="AB51" s="955"/>
      <c r="AC51" s="955"/>
      <c r="AD51" s="955"/>
      <c r="AE51" s="955"/>
      <c r="AF51" s="955"/>
      <c r="AG51" s="955"/>
      <c r="AH51" s="955"/>
      <c r="AI51" s="955"/>
      <c r="AJ51" s="955"/>
      <c r="AK51" s="955"/>
      <c r="AL51" s="955"/>
      <c r="AM51" s="955"/>
      <c r="AN51" s="955"/>
      <c r="AO51" s="955"/>
      <c r="AP51" s="955"/>
      <c r="AQ51" s="955"/>
      <c r="AR51" s="955"/>
      <c r="AS51" s="955"/>
    </row>
    <row r="52" spans="2:45" s="1514" customFormat="1" x14ac:dyDescent="0.2">
      <c r="B52" s="1640"/>
      <c r="C52" s="1517"/>
      <c r="D52" s="1516"/>
      <c r="E52" s="1518"/>
      <c r="F52" s="1510"/>
      <c r="G52" s="1510"/>
      <c r="H52" s="1510"/>
      <c r="I52" s="1512"/>
      <c r="J52" s="1512"/>
      <c r="K52" s="1635" t="str">
        <f t="shared" si="0"/>
        <v/>
      </c>
      <c r="L52" s="1636"/>
      <c r="M52" s="1400"/>
      <c r="N52" s="1513" t="str">
        <f t="shared" si="1"/>
        <v/>
      </c>
      <c r="O52" s="1682" t="str">
        <f t="shared" si="2"/>
        <v/>
      </c>
      <c r="P52" s="1400"/>
      <c r="Q52" s="1513" t="str">
        <f t="shared" si="3"/>
        <v/>
      </c>
      <c r="R52" s="1683" t="str">
        <f t="shared" si="4"/>
        <v/>
      </c>
      <c r="S52" s="1400"/>
      <c r="T52" s="1513" t="str">
        <f t="shared" si="5"/>
        <v/>
      </c>
      <c r="U52" s="1512"/>
      <c r="V52" s="1512"/>
      <c r="W52" s="1638"/>
      <c r="X52" s="955"/>
      <c r="Y52" s="955"/>
      <c r="Z52" s="955"/>
      <c r="AA52" s="955"/>
      <c r="AB52" s="955"/>
      <c r="AC52" s="955"/>
      <c r="AD52" s="955"/>
      <c r="AE52" s="955"/>
      <c r="AF52" s="955"/>
      <c r="AG52" s="955"/>
      <c r="AH52" s="955"/>
      <c r="AI52" s="955"/>
      <c r="AJ52" s="955"/>
      <c r="AK52" s="955"/>
      <c r="AL52" s="955"/>
      <c r="AM52" s="955"/>
      <c r="AN52" s="955"/>
      <c r="AO52" s="955"/>
      <c r="AP52" s="955"/>
      <c r="AQ52" s="955"/>
      <c r="AR52" s="955"/>
      <c r="AS52" s="955"/>
    </row>
    <row r="53" spans="2:45" s="1514" customFormat="1" x14ac:dyDescent="0.2">
      <c r="B53" s="1640"/>
      <c r="C53" s="1517"/>
      <c r="D53" s="1516"/>
      <c r="E53" s="1518"/>
      <c r="F53" s="1510"/>
      <c r="G53" s="1510"/>
      <c r="H53" s="1510"/>
      <c r="I53" s="1512"/>
      <c r="J53" s="1512"/>
      <c r="K53" s="1635" t="str">
        <f t="shared" si="0"/>
        <v/>
      </c>
      <c r="L53" s="1636"/>
      <c r="M53" s="1400"/>
      <c r="N53" s="1513" t="str">
        <f t="shared" si="1"/>
        <v/>
      </c>
      <c r="O53" s="1682" t="str">
        <f t="shared" si="2"/>
        <v/>
      </c>
      <c r="P53" s="1400"/>
      <c r="Q53" s="1513" t="str">
        <f t="shared" si="3"/>
        <v/>
      </c>
      <c r="R53" s="1683" t="str">
        <f t="shared" si="4"/>
        <v/>
      </c>
      <c r="S53" s="1400"/>
      <c r="T53" s="1513" t="str">
        <f t="shared" si="5"/>
        <v/>
      </c>
      <c r="U53" s="1512"/>
      <c r="V53" s="1512"/>
      <c r="W53" s="1638"/>
      <c r="X53" s="955"/>
      <c r="Y53" s="955"/>
      <c r="Z53" s="955"/>
      <c r="AA53" s="955"/>
      <c r="AB53" s="955"/>
      <c r="AC53" s="955"/>
      <c r="AD53" s="955"/>
      <c r="AE53" s="955"/>
      <c r="AF53" s="955"/>
      <c r="AG53" s="955"/>
      <c r="AH53" s="955"/>
      <c r="AI53" s="955"/>
      <c r="AJ53" s="955"/>
      <c r="AK53" s="955"/>
      <c r="AL53" s="955"/>
      <c r="AM53" s="955"/>
      <c r="AN53" s="955"/>
      <c r="AO53" s="955"/>
      <c r="AP53" s="955"/>
      <c r="AQ53" s="955"/>
      <c r="AR53" s="955"/>
      <c r="AS53" s="955"/>
    </row>
    <row r="54" spans="2:45" s="1514" customFormat="1" x14ac:dyDescent="0.2">
      <c r="B54" s="1640"/>
      <c r="C54" s="1517"/>
      <c r="D54" s="1516"/>
      <c r="E54" s="1518"/>
      <c r="F54" s="1510"/>
      <c r="G54" s="1510"/>
      <c r="H54" s="1510"/>
      <c r="I54" s="1512"/>
      <c r="J54" s="1512"/>
      <c r="K54" s="1635" t="str">
        <f t="shared" si="0"/>
        <v/>
      </c>
      <c r="L54" s="1636"/>
      <c r="M54" s="1400"/>
      <c r="N54" s="1513" t="str">
        <f t="shared" si="1"/>
        <v/>
      </c>
      <c r="O54" s="1682" t="str">
        <f t="shared" si="2"/>
        <v/>
      </c>
      <c r="P54" s="1400"/>
      <c r="Q54" s="1513" t="str">
        <f t="shared" si="3"/>
        <v/>
      </c>
      <c r="R54" s="1683" t="str">
        <f t="shared" si="4"/>
        <v/>
      </c>
      <c r="S54" s="1400"/>
      <c r="T54" s="1513" t="str">
        <f t="shared" si="5"/>
        <v/>
      </c>
      <c r="U54" s="1512"/>
      <c r="V54" s="1512"/>
      <c r="W54" s="1638"/>
      <c r="X54" s="955"/>
      <c r="Y54" s="955"/>
      <c r="Z54" s="955"/>
      <c r="AA54" s="955"/>
      <c r="AB54" s="955"/>
      <c r="AC54" s="955"/>
      <c r="AD54" s="955"/>
      <c r="AE54" s="955"/>
      <c r="AF54" s="955"/>
      <c r="AG54" s="955"/>
      <c r="AH54" s="955"/>
      <c r="AI54" s="955"/>
      <c r="AJ54" s="955"/>
      <c r="AK54" s="955"/>
      <c r="AL54" s="955"/>
      <c r="AM54" s="955"/>
      <c r="AN54" s="955"/>
      <c r="AO54" s="955"/>
      <c r="AP54" s="955"/>
      <c r="AQ54" s="955"/>
      <c r="AR54" s="955"/>
      <c r="AS54" s="955"/>
    </row>
    <row r="55" spans="2:45" s="1514" customFormat="1" x14ac:dyDescent="0.2">
      <c r="B55" s="1640"/>
      <c r="C55" s="1517"/>
      <c r="D55" s="1516"/>
      <c r="E55" s="1518"/>
      <c r="F55" s="1510"/>
      <c r="G55" s="1510"/>
      <c r="H55" s="1510"/>
      <c r="I55" s="1512"/>
      <c r="J55" s="1512"/>
      <c r="K55" s="1635" t="str">
        <f t="shared" si="0"/>
        <v/>
      </c>
      <c r="L55" s="1636"/>
      <c r="M55" s="1400"/>
      <c r="N55" s="1513" t="str">
        <f t="shared" si="1"/>
        <v/>
      </c>
      <c r="O55" s="1682" t="str">
        <f t="shared" si="2"/>
        <v/>
      </c>
      <c r="P55" s="1400"/>
      <c r="Q55" s="1513" t="str">
        <f t="shared" si="3"/>
        <v/>
      </c>
      <c r="R55" s="1683" t="str">
        <f t="shared" si="4"/>
        <v/>
      </c>
      <c r="S55" s="1400"/>
      <c r="T55" s="1513" t="str">
        <f t="shared" si="5"/>
        <v/>
      </c>
      <c r="U55" s="1512"/>
      <c r="V55" s="1512"/>
      <c r="W55" s="1638"/>
      <c r="X55" s="955"/>
      <c r="Y55" s="955"/>
      <c r="Z55" s="955"/>
      <c r="AA55" s="955"/>
      <c r="AB55" s="955"/>
      <c r="AC55" s="955"/>
      <c r="AD55" s="955"/>
      <c r="AE55" s="955"/>
      <c r="AF55" s="955"/>
      <c r="AG55" s="955"/>
      <c r="AH55" s="955"/>
      <c r="AI55" s="955"/>
      <c r="AJ55" s="955"/>
      <c r="AK55" s="955"/>
      <c r="AL55" s="955"/>
      <c r="AM55" s="955"/>
      <c r="AN55" s="955"/>
      <c r="AO55" s="955"/>
      <c r="AP55" s="955"/>
      <c r="AQ55" s="955"/>
      <c r="AR55" s="955"/>
      <c r="AS55" s="955"/>
    </row>
    <row r="56" spans="2:45" s="1514" customFormat="1" x14ac:dyDescent="0.2">
      <c r="B56" s="1640"/>
      <c r="C56" s="1517"/>
      <c r="D56" s="1516"/>
      <c r="E56" s="1518"/>
      <c r="F56" s="1510"/>
      <c r="G56" s="1510"/>
      <c r="H56" s="1510"/>
      <c r="I56" s="1512"/>
      <c r="J56" s="1512"/>
      <c r="K56" s="1635" t="str">
        <f t="shared" si="0"/>
        <v/>
      </c>
      <c r="L56" s="1636"/>
      <c r="M56" s="1400"/>
      <c r="N56" s="1513" t="str">
        <f t="shared" si="1"/>
        <v/>
      </c>
      <c r="O56" s="1682" t="str">
        <f t="shared" si="2"/>
        <v/>
      </c>
      <c r="P56" s="1400"/>
      <c r="Q56" s="1513" t="str">
        <f t="shared" si="3"/>
        <v/>
      </c>
      <c r="R56" s="1683" t="str">
        <f t="shared" si="4"/>
        <v/>
      </c>
      <c r="S56" s="1400"/>
      <c r="T56" s="1513" t="str">
        <f t="shared" si="5"/>
        <v/>
      </c>
      <c r="U56" s="1512"/>
      <c r="V56" s="1512"/>
      <c r="W56" s="1638"/>
      <c r="X56" s="955"/>
      <c r="Y56" s="955"/>
      <c r="Z56" s="955"/>
      <c r="AA56" s="955"/>
      <c r="AB56" s="955"/>
      <c r="AC56" s="955"/>
      <c r="AD56" s="955"/>
      <c r="AE56" s="955"/>
      <c r="AF56" s="955"/>
      <c r="AG56" s="955"/>
      <c r="AH56" s="955"/>
      <c r="AI56" s="955"/>
      <c r="AJ56" s="955"/>
      <c r="AK56" s="955"/>
      <c r="AL56" s="955"/>
      <c r="AM56" s="955"/>
      <c r="AN56" s="955"/>
      <c r="AO56" s="955"/>
      <c r="AP56" s="955"/>
      <c r="AQ56" s="955"/>
      <c r="AR56" s="955"/>
      <c r="AS56" s="955"/>
    </row>
    <row r="57" spans="2:45" s="1514" customFormat="1" x14ac:dyDescent="0.2">
      <c r="B57" s="1640"/>
      <c r="C57" s="1517"/>
      <c r="D57" s="1516"/>
      <c r="E57" s="1518"/>
      <c r="F57" s="1510"/>
      <c r="G57" s="1510"/>
      <c r="H57" s="1510"/>
      <c r="I57" s="1512"/>
      <c r="J57" s="1512"/>
      <c r="K57" s="1635" t="str">
        <f t="shared" si="0"/>
        <v/>
      </c>
      <c r="L57" s="1636"/>
      <c r="M57" s="1400"/>
      <c r="N57" s="1513" t="str">
        <f t="shared" si="1"/>
        <v/>
      </c>
      <c r="O57" s="1682" t="str">
        <f t="shared" si="2"/>
        <v/>
      </c>
      <c r="P57" s="1400"/>
      <c r="Q57" s="1513" t="str">
        <f t="shared" si="3"/>
        <v/>
      </c>
      <c r="R57" s="1683" t="str">
        <f t="shared" si="4"/>
        <v/>
      </c>
      <c r="S57" s="1400"/>
      <c r="T57" s="1513" t="str">
        <f t="shared" si="5"/>
        <v/>
      </c>
      <c r="U57" s="1512"/>
      <c r="V57" s="1512"/>
      <c r="W57" s="1638"/>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row>
    <row r="58" spans="2:45" s="1514" customFormat="1" x14ac:dyDescent="0.2">
      <c r="B58" s="1640"/>
      <c r="C58" s="1517"/>
      <c r="D58" s="1516"/>
      <c r="E58" s="1518"/>
      <c r="F58" s="1510"/>
      <c r="G58" s="1510"/>
      <c r="H58" s="1510"/>
      <c r="I58" s="1512"/>
      <c r="J58" s="1512"/>
      <c r="K58" s="1635" t="str">
        <f t="shared" si="0"/>
        <v/>
      </c>
      <c r="L58" s="1636"/>
      <c r="M58" s="1400"/>
      <c r="N58" s="1513" t="str">
        <f t="shared" si="1"/>
        <v/>
      </c>
      <c r="O58" s="1682" t="str">
        <f t="shared" si="2"/>
        <v/>
      </c>
      <c r="P58" s="1400"/>
      <c r="Q58" s="1513" t="str">
        <f t="shared" si="3"/>
        <v/>
      </c>
      <c r="R58" s="1683" t="str">
        <f t="shared" si="4"/>
        <v/>
      </c>
      <c r="S58" s="1400"/>
      <c r="T58" s="1513" t="str">
        <f t="shared" si="5"/>
        <v/>
      </c>
      <c r="U58" s="1512"/>
      <c r="V58" s="1512"/>
      <c r="W58" s="1638"/>
      <c r="X58" s="955"/>
      <c r="Y58" s="955"/>
      <c r="Z58" s="955"/>
      <c r="AA58" s="955"/>
      <c r="AB58" s="955"/>
      <c r="AC58" s="955"/>
      <c r="AD58" s="955"/>
      <c r="AE58" s="955"/>
      <c r="AF58" s="955"/>
      <c r="AG58" s="955"/>
      <c r="AH58" s="955"/>
      <c r="AI58" s="955"/>
      <c r="AJ58" s="955"/>
      <c r="AK58" s="955"/>
      <c r="AL58" s="955"/>
      <c r="AM58" s="955"/>
      <c r="AN58" s="955"/>
      <c r="AO58" s="955"/>
      <c r="AP58" s="955"/>
      <c r="AQ58" s="955"/>
      <c r="AR58" s="955"/>
      <c r="AS58" s="955"/>
    </row>
    <row r="59" spans="2:45" s="1514" customFormat="1" x14ac:dyDescent="0.2">
      <c r="B59" s="1640"/>
      <c r="C59" s="1517"/>
      <c r="D59" s="1516"/>
      <c r="E59" s="1518"/>
      <c r="F59" s="1510"/>
      <c r="G59" s="1510"/>
      <c r="H59" s="1510"/>
      <c r="I59" s="1512"/>
      <c r="J59" s="1512"/>
      <c r="K59" s="1635" t="str">
        <f t="shared" si="0"/>
        <v/>
      </c>
      <c r="L59" s="1633"/>
      <c r="M59" s="1512"/>
      <c r="N59" s="1513" t="str">
        <f t="shared" si="1"/>
        <v/>
      </c>
      <c r="O59" s="1682" t="str">
        <f t="shared" si="2"/>
        <v/>
      </c>
      <c r="P59" s="1512"/>
      <c r="Q59" s="1513" t="str">
        <f t="shared" si="3"/>
        <v/>
      </c>
      <c r="R59" s="1683" t="str">
        <f t="shared" si="4"/>
        <v/>
      </c>
      <c r="S59" s="1512"/>
      <c r="T59" s="1513" t="str">
        <f t="shared" si="5"/>
        <v/>
      </c>
      <c r="U59" s="1512"/>
      <c r="V59" s="1512"/>
      <c r="W59" s="1638"/>
      <c r="X59" s="955"/>
      <c r="Y59" s="955"/>
      <c r="Z59" s="955"/>
      <c r="AA59" s="955"/>
      <c r="AB59" s="955"/>
      <c r="AC59" s="955"/>
      <c r="AD59" s="955"/>
      <c r="AE59" s="955"/>
      <c r="AF59" s="955"/>
      <c r="AG59" s="955"/>
      <c r="AH59" s="955"/>
      <c r="AI59" s="955"/>
      <c r="AJ59" s="955"/>
      <c r="AK59" s="955"/>
      <c r="AL59" s="955"/>
      <c r="AM59" s="955"/>
      <c r="AN59" s="955"/>
      <c r="AO59" s="955"/>
      <c r="AP59" s="955"/>
      <c r="AQ59" s="955"/>
      <c r="AR59" s="955"/>
      <c r="AS59" s="955"/>
    </row>
    <row r="60" spans="2:45" s="1514" customFormat="1" x14ac:dyDescent="0.2">
      <c r="B60" s="1640"/>
      <c r="C60" s="1517"/>
      <c r="D60" s="1516"/>
      <c r="E60" s="1518"/>
      <c r="F60" s="1510"/>
      <c r="G60" s="1510"/>
      <c r="H60" s="1510"/>
      <c r="I60" s="1512"/>
      <c r="J60" s="1512"/>
      <c r="K60" s="1635" t="str">
        <f t="shared" si="0"/>
        <v/>
      </c>
      <c r="L60" s="1633"/>
      <c r="M60" s="1512"/>
      <c r="N60" s="1513" t="str">
        <f t="shared" si="1"/>
        <v/>
      </c>
      <c r="O60" s="1682" t="str">
        <f t="shared" si="2"/>
        <v/>
      </c>
      <c r="P60" s="1512"/>
      <c r="Q60" s="1513" t="str">
        <f t="shared" si="3"/>
        <v/>
      </c>
      <c r="R60" s="1683" t="str">
        <f t="shared" si="4"/>
        <v/>
      </c>
      <c r="S60" s="1512"/>
      <c r="T60" s="1513" t="str">
        <f t="shared" si="5"/>
        <v/>
      </c>
      <c r="U60" s="1512"/>
      <c r="V60" s="1512"/>
      <c r="W60" s="1638"/>
      <c r="X60" s="955"/>
      <c r="Y60" s="955"/>
      <c r="Z60" s="955"/>
      <c r="AA60" s="955"/>
      <c r="AB60" s="955"/>
      <c r="AC60" s="955"/>
      <c r="AD60" s="955"/>
      <c r="AE60" s="955"/>
      <c r="AF60" s="955"/>
      <c r="AG60" s="955"/>
      <c r="AH60" s="955"/>
      <c r="AI60" s="955"/>
      <c r="AJ60" s="955"/>
      <c r="AK60" s="955"/>
      <c r="AL60" s="955"/>
      <c r="AM60" s="955"/>
      <c r="AN60" s="955"/>
      <c r="AO60" s="955"/>
      <c r="AP60" s="955"/>
      <c r="AQ60" s="955"/>
      <c r="AR60" s="955"/>
      <c r="AS60" s="955"/>
    </row>
    <row r="61" spans="2:45" s="1514" customFormat="1" x14ac:dyDescent="0.2">
      <c r="B61" s="1640"/>
      <c r="C61" s="1517"/>
      <c r="D61" s="1516"/>
      <c r="E61" s="1518"/>
      <c r="F61" s="1510"/>
      <c r="G61" s="1510"/>
      <c r="H61" s="1510"/>
      <c r="I61" s="1512"/>
      <c r="J61" s="1512"/>
      <c r="K61" s="1635" t="str">
        <f t="shared" si="0"/>
        <v/>
      </c>
      <c r="L61" s="1633"/>
      <c r="M61" s="1512"/>
      <c r="N61" s="1513" t="str">
        <f t="shared" si="1"/>
        <v/>
      </c>
      <c r="O61" s="1682" t="str">
        <f t="shared" si="2"/>
        <v/>
      </c>
      <c r="P61" s="1512"/>
      <c r="Q61" s="1513" t="str">
        <f t="shared" si="3"/>
        <v/>
      </c>
      <c r="R61" s="1683" t="str">
        <f t="shared" si="4"/>
        <v/>
      </c>
      <c r="S61" s="1512"/>
      <c r="T61" s="1513" t="str">
        <f t="shared" si="5"/>
        <v/>
      </c>
      <c r="U61" s="1512"/>
      <c r="V61" s="1512"/>
      <c r="W61" s="1638"/>
      <c r="X61" s="955"/>
      <c r="Y61" s="955"/>
      <c r="Z61" s="955"/>
      <c r="AA61" s="955"/>
      <c r="AB61" s="955"/>
      <c r="AC61" s="955"/>
      <c r="AD61" s="955"/>
      <c r="AE61" s="955"/>
      <c r="AF61" s="955"/>
      <c r="AG61" s="955"/>
      <c r="AH61" s="955"/>
      <c r="AI61" s="955"/>
      <c r="AJ61" s="955"/>
      <c r="AK61" s="955"/>
      <c r="AL61" s="955"/>
      <c r="AM61" s="955"/>
      <c r="AN61" s="955"/>
      <c r="AO61" s="955"/>
      <c r="AP61" s="955"/>
      <c r="AQ61" s="955"/>
      <c r="AR61" s="955"/>
      <c r="AS61" s="955"/>
    </row>
    <row r="62" spans="2:45" s="1514" customFormat="1" x14ac:dyDescent="0.2">
      <c r="B62" s="1640"/>
      <c r="C62" s="1517"/>
      <c r="D62" s="1516"/>
      <c r="E62" s="1518"/>
      <c r="F62" s="1510"/>
      <c r="G62" s="1510"/>
      <c r="H62" s="1510"/>
      <c r="I62" s="1512"/>
      <c r="J62" s="1512"/>
      <c r="K62" s="1635" t="str">
        <f t="shared" si="0"/>
        <v/>
      </c>
      <c r="L62" s="1633"/>
      <c r="M62" s="1512"/>
      <c r="N62" s="1513" t="str">
        <f t="shared" si="1"/>
        <v/>
      </c>
      <c r="O62" s="1682" t="str">
        <f t="shared" si="2"/>
        <v/>
      </c>
      <c r="P62" s="1512"/>
      <c r="Q62" s="1513" t="str">
        <f t="shared" si="3"/>
        <v/>
      </c>
      <c r="R62" s="1683" t="str">
        <f t="shared" si="4"/>
        <v/>
      </c>
      <c r="S62" s="1512"/>
      <c r="T62" s="1513" t="str">
        <f t="shared" si="5"/>
        <v/>
      </c>
      <c r="U62" s="1512"/>
      <c r="V62" s="1512"/>
      <c r="W62" s="1638"/>
      <c r="X62" s="955"/>
      <c r="Y62" s="955"/>
      <c r="Z62" s="955"/>
      <c r="AA62" s="955"/>
      <c r="AB62" s="955"/>
      <c r="AC62" s="955"/>
      <c r="AD62" s="955"/>
      <c r="AE62" s="955"/>
      <c r="AF62" s="955"/>
      <c r="AG62" s="955"/>
      <c r="AH62" s="955"/>
      <c r="AI62" s="955"/>
      <c r="AJ62" s="955"/>
      <c r="AK62" s="955"/>
      <c r="AL62" s="955"/>
      <c r="AM62" s="955"/>
      <c r="AN62" s="955"/>
      <c r="AO62" s="955"/>
      <c r="AP62" s="955"/>
      <c r="AQ62" s="955"/>
      <c r="AR62" s="955"/>
      <c r="AS62" s="955"/>
    </row>
    <row r="63" spans="2:45" s="1514" customFormat="1" x14ac:dyDescent="0.2">
      <c r="B63" s="1640"/>
      <c r="C63" s="1517"/>
      <c r="D63" s="1516"/>
      <c r="E63" s="1518"/>
      <c r="F63" s="1510"/>
      <c r="G63" s="1510"/>
      <c r="H63" s="1510"/>
      <c r="I63" s="1512"/>
      <c r="J63" s="1512"/>
      <c r="K63" s="1635" t="str">
        <f t="shared" si="0"/>
        <v/>
      </c>
      <c r="L63" s="1633"/>
      <c r="M63" s="1512"/>
      <c r="N63" s="1513" t="str">
        <f t="shared" si="1"/>
        <v/>
      </c>
      <c r="O63" s="1682" t="str">
        <f t="shared" si="2"/>
        <v/>
      </c>
      <c r="P63" s="1512"/>
      <c r="Q63" s="1513" t="str">
        <f t="shared" si="3"/>
        <v/>
      </c>
      <c r="R63" s="1683" t="str">
        <f t="shared" si="4"/>
        <v/>
      </c>
      <c r="S63" s="1512"/>
      <c r="T63" s="1513" t="str">
        <f t="shared" si="5"/>
        <v/>
      </c>
      <c r="U63" s="1512"/>
      <c r="V63" s="1512"/>
      <c r="W63" s="1638"/>
      <c r="X63" s="955"/>
      <c r="Y63" s="955"/>
      <c r="Z63" s="955"/>
      <c r="AA63" s="955"/>
      <c r="AB63" s="955"/>
      <c r="AC63" s="955"/>
      <c r="AD63" s="955"/>
      <c r="AE63" s="955"/>
      <c r="AF63" s="955"/>
      <c r="AG63" s="955"/>
      <c r="AH63" s="955"/>
      <c r="AI63" s="955"/>
      <c r="AJ63" s="955"/>
      <c r="AK63" s="955"/>
      <c r="AL63" s="955"/>
      <c r="AM63" s="955"/>
      <c r="AN63" s="955"/>
      <c r="AO63" s="955"/>
      <c r="AP63" s="955"/>
      <c r="AQ63" s="955"/>
      <c r="AR63" s="955"/>
      <c r="AS63" s="955"/>
    </row>
    <row r="64" spans="2:45" s="1514" customFormat="1" x14ac:dyDescent="0.2">
      <c r="B64" s="1640"/>
      <c r="C64" s="1517"/>
      <c r="D64" s="1516"/>
      <c r="E64" s="1518"/>
      <c r="F64" s="1510"/>
      <c r="G64" s="1510"/>
      <c r="H64" s="1510"/>
      <c r="I64" s="1512"/>
      <c r="J64" s="1512"/>
      <c r="K64" s="1635" t="str">
        <f t="shared" si="0"/>
        <v/>
      </c>
      <c r="L64" s="1633"/>
      <c r="M64" s="1512"/>
      <c r="N64" s="1513" t="str">
        <f t="shared" si="1"/>
        <v/>
      </c>
      <c r="O64" s="1682" t="str">
        <f t="shared" si="2"/>
        <v/>
      </c>
      <c r="P64" s="1512"/>
      <c r="Q64" s="1513" t="str">
        <f t="shared" si="3"/>
        <v/>
      </c>
      <c r="R64" s="1683" t="str">
        <f t="shared" si="4"/>
        <v/>
      </c>
      <c r="S64" s="1512"/>
      <c r="T64" s="1513" t="str">
        <f t="shared" si="5"/>
        <v/>
      </c>
      <c r="U64" s="1512"/>
      <c r="V64" s="1512"/>
      <c r="W64" s="1638"/>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row>
    <row r="65" spans="2:45" s="1514" customFormat="1" x14ac:dyDescent="0.2">
      <c r="B65" s="1640"/>
      <c r="C65" s="1517"/>
      <c r="D65" s="1516"/>
      <c r="E65" s="1518"/>
      <c r="F65" s="1510"/>
      <c r="G65" s="1510"/>
      <c r="H65" s="1510"/>
      <c r="I65" s="1512"/>
      <c r="J65" s="1512"/>
      <c r="K65" s="1635" t="str">
        <f t="shared" si="0"/>
        <v/>
      </c>
      <c r="L65" s="1633"/>
      <c r="M65" s="1512"/>
      <c r="N65" s="1513" t="str">
        <f t="shared" si="1"/>
        <v/>
      </c>
      <c r="O65" s="1682" t="str">
        <f t="shared" si="2"/>
        <v/>
      </c>
      <c r="P65" s="1512"/>
      <c r="Q65" s="1513" t="str">
        <f t="shared" si="3"/>
        <v/>
      </c>
      <c r="R65" s="1683" t="str">
        <f t="shared" si="4"/>
        <v/>
      </c>
      <c r="S65" s="1512"/>
      <c r="T65" s="1513" t="str">
        <f t="shared" si="5"/>
        <v/>
      </c>
      <c r="U65" s="1512"/>
      <c r="V65" s="1512"/>
      <c r="W65" s="1638"/>
      <c r="X65" s="955"/>
      <c r="Y65" s="955"/>
      <c r="Z65" s="955"/>
      <c r="AA65" s="955"/>
      <c r="AB65" s="955"/>
      <c r="AC65" s="955"/>
      <c r="AD65" s="955"/>
      <c r="AE65" s="955"/>
      <c r="AF65" s="955"/>
      <c r="AG65" s="955"/>
      <c r="AH65" s="955"/>
      <c r="AI65" s="955"/>
      <c r="AJ65" s="955"/>
      <c r="AK65" s="955"/>
      <c r="AL65" s="955"/>
      <c r="AM65" s="955"/>
      <c r="AN65" s="955"/>
      <c r="AO65" s="955"/>
      <c r="AP65" s="955"/>
      <c r="AQ65" s="955"/>
      <c r="AR65" s="955"/>
      <c r="AS65" s="955"/>
    </row>
    <row r="66" spans="2:45" s="1514" customFormat="1" x14ac:dyDescent="0.2">
      <c r="B66" s="1640"/>
      <c r="C66" s="1517"/>
      <c r="D66" s="1516"/>
      <c r="E66" s="1518"/>
      <c r="F66" s="1510"/>
      <c r="G66" s="1510"/>
      <c r="H66" s="1510"/>
      <c r="I66" s="1512"/>
      <c r="J66" s="1512"/>
      <c r="K66" s="1635" t="str">
        <f t="shared" si="0"/>
        <v/>
      </c>
      <c r="L66" s="1633"/>
      <c r="M66" s="1512"/>
      <c r="N66" s="1513" t="str">
        <f t="shared" si="1"/>
        <v/>
      </c>
      <c r="O66" s="1682" t="str">
        <f t="shared" si="2"/>
        <v/>
      </c>
      <c r="P66" s="1512"/>
      <c r="Q66" s="1513" t="str">
        <f t="shared" si="3"/>
        <v/>
      </c>
      <c r="R66" s="1683" t="str">
        <f t="shared" si="4"/>
        <v/>
      </c>
      <c r="S66" s="1512"/>
      <c r="T66" s="1513" t="str">
        <f t="shared" si="5"/>
        <v/>
      </c>
      <c r="U66" s="1512"/>
      <c r="V66" s="1512"/>
      <c r="W66" s="1638"/>
      <c r="X66" s="955"/>
      <c r="Y66" s="955"/>
      <c r="Z66" s="955"/>
      <c r="AA66" s="955"/>
      <c r="AB66" s="955"/>
      <c r="AC66" s="955"/>
      <c r="AD66" s="955"/>
      <c r="AE66" s="955"/>
      <c r="AF66" s="955"/>
      <c r="AG66" s="955"/>
      <c r="AH66" s="955"/>
      <c r="AI66" s="955"/>
      <c r="AJ66" s="955"/>
      <c r="AK66" s="955"/>
      <c r="AL66" s="955"/>
      <c r="AM66" s="955"/>
      <c r="AN66" s="955"/>
      <c r="AO66" s="955"/>
      <c r="AP66" s="955"/>
      <c r="AQ66" s="955"/>
      <c r="AR66" s="955"/>
      <c r="AS66" s="955"/>
    </row>
    <row r="67" spans="2:45" s="1514" customFormat="1" x14ac:dyDescent="0.2">
      <c r="B67" s="1640"/>
      <c r="C67" s="1517"/>
      <c r="D67" s="1516"/>
      <c r="E67" s="1518"/>
      <c r="F67" s="1510"/>
      <c r="G67" s="1510"/>
      <c r="H67" s="1510"/>
      <c r="I67" s="1512"/>
      <c r="J67" s="1512"/>
      <c r="K67" s="1635" t="str">
        <f t="shared" si="0"/>
        <v/>
      </c>
      <c r="L67" s="1633"/>
      <c r="M67" s="1512"/>
      <c r="N67" s="1513" t="str">
        <f t="shared" si="1"/>
        <v/>
      </c>
      <c r="O67" s="1682" t="str">
        <f t="shared" si="2"/>
        <v/>
      </c>
      <c r="P67" s="1512"/>
      <c r="Q67" s="1513" t="str">
        <f t="shared" si="3"/>
        <v/>
      </c>
      <c r="R67" s="1683" t="str">
        <f t="shared" si="4"/>
        <v/>
      </c>
      <c r="S67" s="1512"/>
      <c r="T67" s="1513" t="str">
        <f t="shared" si="5"/>
        <v/>
      </c>
      <c r="U67" s="1512"/>
      <c r="V67" s="1512"/>
      <c r="W67" s="1638"/>
      <c r="X67" s="955"/>
      <c r="Y67" s="955"/>
      <c r="Z67" s="955"/>
      <c r="AA67" s="955"/>
      <c r="AB67" s="955"/>
      <c r="AC67" s="955"/>
      <c r="AD67" s="955"/>
      <c r="AE67" s="955"/>
      <c r="AF67" s="955"/>
      <c r="AG67" s="955"/>
      <c r="AH67" s="955"/>
      <c r="AI67" s="955"/>
      <c r="AJ67" s="955"/>
      <c r="AK67" s="955"/>
      <c r="AL67" s="955"/>
      <c r="AM67" s="955"/>
      <c r="AN67" s="955"/>
      <c r="AO67" s="955"/>
      <c r="AP67" s="955"/>
      <c r="AQ67" s="955"/>
      <c r="AR67" s="955"/>
      <c r="AS67" s="955"/>
    </row>
    <row r="68" spans="2:45" s="1514" customFormat="1" x14ac:dyDescent="0.2">
      <c r="B68" s="1640"/>
      <c r="C68" s="1517"/>
      <c r="D68" s="1516"/>
      <c r="E68" s="1518"/>
      <c r="F68" s="1510"/>
      <c r="G68" s="1510"/>
      <c r="H68" s="1510"/>
      <c r="I68" s="1512"/>
      <c r="J68" s="1512"/>
      <c r="K68" s="1635" t="str">
        <f t="shared" si="0"/>
        <v/>
      </c>
      <c r="L68" s="1633"/>
      <c r="M68" s="1512"/>
      <c r="N68" s="1513" t="str">
        <f t="shared" si="1"/>
        <v/>
      </c>
      <c r="O68" s="1682" t="str">
        <f t="shared" si="2"/>
        <v/>
      </c>
      <c r="P68" s="1512"/>
      <c r="Q68" s="1513" t="str">
        <f t="shared" si="3"/>
        <v/>
      </c>
      <c r="R68" s="1683" t="str">
        <f t="shared" si="4"/>
        <v/>
      </c>
      <c r="S68" s="1512"/>
      <c r="T68" s="1513" t="str">
        <f t="shared" si="5"/>
        <v/>
      </c>
      <c r="U68" s="1512"/>
      <c r="V68" s="1512"/>
      <c r="W68" s="1638"/>
      <c r="X68" s="955"/>
      <c r="Y68" s="955"/>
      <c r="Z68" s="955"/>
      <c r="AA68" s="955"/>
      <c r="AB68" s="955"/>
      <c r="AC68" s="955"/>
      <c r="AD68" s="955"/>
      <c r="AE68" s="955"/>
      <c r="AF68" s="955"/>
      <c r="AG68" s="955"/>
      <c r="AH68" s="955"/>
      <c r="AI68" s="955"/>
      <c r="AJ68" s="955"/>
      <c r="AK68" s="955"/>
      <c r="AL68" s="955"/>
      <c r="AM68" s="955"/>
      <c r="AN68" s="955"/>
      <c r="AO68" s="955"/>
      <c r="AP68" s="955"/>
      <c r="AQ68" s="955"/>
      <c r="AR68" s="955"/>
      <c r="AS68" s="955"/>
    </row>
    <row r="69" spans="2:45" s="1514" customFormat="1" x14ac:dyDescent="0.2">
      <c r="B69" s="1640"/>
      <c r="C69" s="1517"/>
      <c r="D69" s="1516"/>
      <c r="E69" s="1518"/>
      <c r="F69" s="1510"/>
      <c r="G69" s="1510"/>
      <c r="H69" s="1510"/>
      <c r="I69" s="1512"/>
      <c r="J69" s="1512"/>
      <c r="K69" s="1635" t="str">
        <f t="shared" si="0"/>
        <v/>
      </c>
      <c r="L69" s="1633"/>
      <c r="M69" s="1512"/>
      <c r="N69" s="1513" t="str">
        <f t="shared" si="1"/>
        <v/>
      </c>
      <c r="O69" s="1682" t="str">
        <f t="shared" si="2"/>
        <v/>
      </c>
      <c r="P69" s="1512"/>
      <c r="Q69" s="1513" t="str">
        <f t="shared" si="3"/>
        <v/>
      </c>
      <c r="R69" s="1683" t="str">
        <f t="shared" si="4"/>
        <v/>
      </c>
      <c r="S69" s="1512"/>
      <c r="T69" s="1513" t="str">
        <f t="shared" si="5"/>
        <v/>
      </c>
      <c r="U69" s="1512"/>
      <c r="V69" s="1512"/>
      <c r="W69" s="1638"/>
      <c r="X69" s="955"/>
      <c r="Y69" s="955"/>
      <c r="Z69" s="955"/>
      <c r="AA69" s="955"/>
      <c r="AB69" s="955"/>
      <c r="AC69" s="955"/>
      <c r="AD69" s="955"/>
      <c r="AE69" s="955"/>
      <c r="AF69" s="955"/>
      <c r="AG69" s="955"/>
      <c r="AH69" s="955"/>
      <c r="AI69" s="955"/>
      <c r="AJ69" s="955"/>
      <c r="AK69" s="955"/>
      <c r="AL69" s="955"/>
      <c r="AM69" s="955"/>
      <c r="AN69" s="955"/>
      <c r="AO69" s="955"/>
      <c r="AP69" s="955"/>
      <c r="AQ69" s="955"/>
      <c r="AR69" s="955"/>
      <c r="AS69" s="955"/>
    </row>
    <row r="70" spans="2:45" s="1514" customFormat="1" x14ac:dyDescent="0.2">
      <c r="B70" s="1640"/>
      <c r="C70" s="1517"/>
      <c r="D70" s="1516"/>
      <c r="E70" s="1518"/>
      <c r="F70" s="1510"/>
      <c r="G70" s="1510"/>
      <c r="H70" s="1510"/>
      <c r="I70" s="1512"/>
      <c r="J70" s="1512"/>
      <c r="K70" s="1635" t="str">
        <f t="shared" si="0"/>
        <v/>
      </c>
      <c r="L70" s="1633"/>
      <c r="M70" s="1512"/>
      <c r="N70" s="1513" t="str">
        <f t="shared" si="1"/>
        <v/>
      </c>
      <c r="O70" s="1682" t="str">
        <f t="shared" si="2"/>
        <v/>
      </c>
      <c r="P70" s="1512"/>
      <c r="Q70" s="1513" t="str">
        <f t="shared" si="3"/>
        <v/>
      </c>
      <c r="R70" s="1683" t="str">
        <f t="shared" si="4"/>
        <v/>
      </c>
      <c r="S70" s="1512"/>
      <c r="T70" s="1513" t="str">
        <f t="shared" si="5"/>
        <v/>
      </c>
      <c r="U70" s="1512"/>
      <c r="V70" s="1512"/>
      <c r="W70" s="1638"/>
      <c r="X70" s="955"/>
      <c r="Y70" s="955"/>
      <c r="Z70" s="955"/>
      <c r="AA70" s="955"/>
      <c r="AB70" s="955"/>
      <c r="AC70" s="955"/>
      <c r="AD70" s="955"/>
      <c r="AE70" s="955"/>
      <c r="AF70" s="955"/>
      <c r="AG70" s="955"/>
      <c r="AH70" s="955"/>
      <c r="AI70" s="955"/>
      <c r="AJ70" s="955"/>
      <c r="AK70" s="955"/>
      <c r="AL70" s="955"/>
      <c r="AM70" s="955"/>
      <c r="AN70" s="955"/>
      <c r="AO70" s="955"/>
      <c r="AP70" s="955"/>
      <c r="AQ70" s="955"/>
      <c r="AR70" s="955"/>
      <c r="AS70" s="955"/>
    </row>
    <row r="71" spans="2:45" s="1514" customFormat="1" x14ac:dyDescent="0.2">
      <c r="B71" s="1640"/>
      <c r="C71" s="1517"/>
      <c r="D71" s="1516"/>
      <c r="E71" s="1518"/>
      <c r="F71" s="1510"/>
      <c r="G71" s="1510"/>
      <c r="H71" s="1510"/>
      <c r="I71" s="1512"/>
      <c r="J71" s="1512"/>
      <c r="K71" s="1635" t="str">
        <f t="shared" si="0"/>
        <v/>
      </c>
      <c r="L71" s="1633"/>
      <c r="M71" s="1512"/>
      <c r="N71" s="1513" t="str">
        <f t="shared" si="1"/>
        <v/>
      </c>
      <c r="O71" s="1682" t="str">
        <f t="shared" si="2"/>
        <v/>
      </c>
      <c r="P71" s="1512"/>
      <c r="Q71" s="1513" t="str">
        <f t="shared" si="3"/>
        <v/>
      </c>
      <c r="R71" s="1683" t="str">
        <f t="shared" si="4"/>
        <v/>
      </c>
      <c r="S71" s="1512"/>
      <c r="T71" s="1513" t="str">
        <f t="shared" si="5"/>
        <v/>
      </c>
      <c r="U71" s="1512"/>
      <c r="V71" s="1512"/>
      <c r="W71" s="1638"/>
      <c r="X71" s="955"/>
      <c r="Y71" s="955"/>
      <c r="Z71" s="955"/>
      <c r="AA71" s="955"/>
      <c r="AB71" s="955"/>
      <c r="AC71" s="955"/>
      <c r="AD71" s="955"/>
      <c r="AE71" s="955"/>
      <c r="AF71" s="955"/>
      <c r="AG71" s="955"/>
      <c r="AH71" s="955"/>
      <c r="AI71" s="955"/>
      <c r="AJ71" s="955"/>
      <c r="AK71" s="955"/>
      <c r="AL71" s="955"/>
      <c r="AM71" s="955"/>
      <c r="AN71" s="955"/>
      <c r="AO71" s="955"/>
      <c r="AP71" s="955"/>
      <c r="AQ71" s="955"/>
      <c r="AR71" s="955"/>
      <c r="AS71" s="955"/>
    </row>
    <row r="72" spans="2:45" s="1514" customFormat="1" x14ac:dyDescent="0.2">
      <c r="B72" s="1640"/>
      <c r="C72" s="1517"/>
      <c r="D72" s="1516"/>
      <c r="E72" s="1518"/>
      <c r="F72" s="1510"/>
      <c r="G72" s="1510"/>
      <c r="H72" s="1510"/>
      <c r="I72" s="1512"/>
      <c r="J72" s="1512"/>
      <c r="K72" s="1635" t="str">
        <f t="shared" si="0"/>
        <v/>
      </c>
      <c r="L72" s="1633"/>
      <c r="M72" s="1512"/>
      <c r="N72" s="1513" t="str">
        <f t="shared" si="1"/>
        <v/>
      </c>
      <c r="O72" s="1682" t="str">
        <f t="shared" si="2"/>
        <v/>
      </c>
      <c r="P72" s="1512"/>
      <c r="Q72" s="1513" t="str">
        <f t="shared" si="3"/>
        <v/>
      </c>
      <c r="R72" s="1683" t="str">
        <f t="shared" si="4"/>
        <v/>
      </c>
      <c r="S72" s="1512"/>
      <c r="T72" s="1513" t="str">
        <f t="shared" si="5"/>
        <v/>
      </c>
      <c r="U72" s="1512"/>
      <c r="V72" s="1512"/>
      <c r="W72" s="1638"/>
      <c r="X72" s="955"/>
      <c r="Y72" s="955"/>
      <c r="Z72" s="955"/>
      <c r="AA72" s="955"/>
      <c r="AB72" s="955"/>
      <c r="AC72" s="955"/>
      <c r="AD72" s="955"/>
      <c r="AE72" s="955"/>
      <c r="AF72" s="955"/>
      <c r="AG72" s="955"/>
      <c r="AH72" s="955"/>
      <c r="AI72" s="955"/>
      <c r="AJ72" s="955"/>
      <c r="AK72" s="955"/>
      <c r="AL72" s="955"/>
      <c r="AM72" s="955"/>
      <c r="AN72" s="955"/>
      <c r="AO72" s="955"/>
      <c r="AP72" s="955"/>
      <c r="AQ72" s="955"/>
      <c r="AR72" s="955"/>
      <c r="AS72" s="955"/>
    </row>
    <row r="73" spans="2:45" s="1514" customFormat="1" x14ac:dyDescent="0.2">
      <c r="B73" s="1640"/>
      <c r="C73" s="1517"/>
      <c r="D73" s="1516"/>
      <c r="E73" s="1518"/>
      <c r="F73" s="1510"/>
      <c r="G73" s="1510"/>
      <c r="H73" s="1510"/>
      <c r="I73" s="1512"/>
      <c r="J73" s="1512"/>
      <c r="K73" s="1635" t="str">
        <f t="shared" si="0"/>
        <v/>
      </c>
      <c r="L73" s="1633"/>
      <c r="M73" s="1512"/>
      <c r="N73" s="1513" t="str">
        <f t="shared" si="1"/>
        <v/>
      </c>
      <c r="O73" s="1682" t="str">
        <f t="shared" si="2"/>
        <v/>
      </c>
      <c r="P73" s="1512"/>
      <c r="Q73" s="1513" t="str">
        <f t="shared" si="3"/>
        <v/>
      </c>
      <c r="R73" s="1683" t="str">
        <f t="shared" si="4"/>
        <v/>
      </c>
      <c r="S73" s="1512"/>
      <c r="T73" s="1513" t="str">
        <f t="shared" si="5"/>
        <v/>
      </c>
      <c r="U73" s="1512"/>
      <c r="V73" s="1512"/>
      <c r="W73" s="1638"/>
      <c r="X73" s="955"/>
      <c r="Y73" s="955"/>
      <c r="Z73" s="955"/>
      <c r="AA73" s="955"/>
      <c r="AB73" s="955"/>
      <c r="AC73" s="955"/>
      <c r="AD73" s="955"/>
      <c r="AE73" s="955"/>
      <c r="AF73" s="955"/>
      <c r="AG73" s="955"/>
      <c r="AH73" s="955"/>
      <c r="AI73" s="955"/>
      <c r="AJ73" s="955"/>
      <c r="AK73" s="955"/>
      <c r="AL73" s="955"/>
      <c r="AM73" s="955"/>
      <c r="AN73" s="955"/>
      <c r="AO73" s="955"/>
      <c r="AP73" s="955"/>
      <c r="AQ73" s="955"/>
      <c r="AR73" s="955"/>
      <c r="AS73" s="955"/>
    </row>
    <row r="74" spans="2:45" s="1514" customFormat="1" x14ac:dyDescent="0.2">
      <c r="B74" s="1640"/>
      <c r="C74" s="1517"/>
      <c r="D74" s="1516"/>
      <c r="E74" s="1518"/>
      <c r="F74" s="1510"/>
      <c r="G74" s="1510"/>
      <c r="H74" s="1510"/>
      <c r="I74" s="1512"/>
      <c r="J74" s="1512"/>
      <c r="K74" s="1635" t="str">
        <f t="shared" si="0"/>
        <v/>
      </c>
      <c r="L74" s="1633"/>
      <c r="M74" s="1512"/>
      <c r="N74" s="1513" t="str">
        <f t="shared" si="1"/>
        <v/>
      </c>
      <c r="O74" s="1682" t="str">
        <f t="shared" si="2"/>
        <v/>
      </c>
      <c r="P74" s="1512"/>
      <c r="Q74" s="1513" t="str">
        <f t="shared" si="3"/>
        <v/>
      </c>
      <c r="R74" s="1683" t="str">
        <f t="shared" si="4"/>
        <v/>
      </c>
      <c r="S74" s="1512"/>
      <c r="T74" s="1513" t="str">
        <f t="shared" si="5"/>
        <v/>
      </c>
      <c r="U74" s="1512"/>
      <c r="V74" s="1512"/>
      <c r="W74" s="1638"/>
      <c r="X74" s="955"/>
      <c r="Y74" s="955"/>
      <c r="Z74" s="955"/>
      <c r="AA74" s="955"/>
      <c r="AB74" s="955"/>
      <c r="AC74" s="955"/>
      <c r="AD74" s="955"/>
      <c r="AE74" s="955"/>
      <c r="AF74" s="955"/>
      <c r="AG74" s="955"/>
      <c r="AH74" s="955"/>
      <c r="AI74" s="955"/>
      <c r="AJ74" s="955"/>
      <c r="AK74" s="955"/>
      <c r="AL74" s="955"/>
      <c r="AM74" s="955"/>
      <c r="AN74" s="955"/>
      <c r="AO74" s="955"/>
      <c r="AP74" s="955"/>
      <c r="AQ74" s="955"/>
      <c r="AR74" s="955"/>
      <c r="AS74" s="955"/>
    </row>
    <row r="75" spans="2:45" s="1514" customFormat="1" x14ac:dyDescent="0.2">
      <c r="B75" s="1640"/>
      <c r="C75" s="1517"/>
      <c r="D75" s="1516"/>
      <c r="E75" s="1518"/>
      <c r="F75" s="1510"/>
      <c r="G75" s="1510"/>
      <c r="H75" s="1510"/>
      <c r="I75" s="1512"/>
      <c r="J75" s="1512"/>
      <c r="K75" s="1635" t="str">
        <f t="shared" si="0"/>
        <v/>
      </c>
      <c r="L75" s="1633"/>
      <c r="M75" s="1512"/>
      <c r="N75" s="1513" t="str">
        <f t="shared" si="1"/>
        <v/>
      </c>
      <c r="O75" s="1682" t="str">
        <f t="shared" si="2"/>
        <v/>
      </c>
      <c r="P75" s="1512"/>
      <c r="Q75" s="1513" t="str">
        <f t="shared" si="3"/>
        <v/>
      </c>
      <c r="R75" s="1683" t="str">
        <f t="shared" si="4"/>
        <v/>
      </c>
      <c r="S75" s="1512"/>
      <c r="T75" s="1513" t="str">
        <f t="shared" si="5"/>
        <v/>
      </c>
      <c r="U75" s="1512"/>
      <c r="V75" s="1512"/>
      <c r="W75" s="1638"/>
      <c r="X75" s="955"/>
      <c r="Y75" s="955"/>
      <c r="Z75" s="955"/>
      <c r="AA75" s="955"/>
      <c r="AB75" s="955"/>
      <c r="AC75" s="955"/>
      <c r="AD75" s="955"/>
      <c r="AE75" s="955"/>
      <c r="AF75" s="955"/>
      <c r="AG75" s="955"/>
      <c r="AH75" s="955"/>
      <c r="AI75" s="955"/>
      <c r="AJ75" s="955"/>
      <c r="AK75" s="955"/>
      <c r="AL75" s="955"/>
      <c r="AM75" s="955"/>
      <c r="AN75" s="955"/>
      <c r="AO75" s="955"/>
      <c r="AP75" s="955"/>
      <c r="AQ75" s="955"/>
      <c r="AR75" s="955"/>
      <c r="AS75" s="955"/>
    </row>
    <row r="76" spans="2:45" s="1514" customFormat="1" x14ac:dyDescent="0.2">
      <c r="B76" s="1640"/>
      <c r="C76" s="1517"/>
      <c r="D76" s="1516"/>
      <c r="E76" s="1518"/>
      <c r="F76" s="1510"/>
      <c r="G76" s="1510"/>
      <c r="H76" s="1510"/>
      <c r="I76" s="1512"/>
      <c r="J76" s="1512"/>
      <c r="K76" s="1635" t="str">
        <f t="shared" si="0"/>
        <v/>
      </c>
      <c r="L76" s="1633"/>
      <c r="M76" s="1512"/>
      <c r="N76" s="1513" t="str">
        <f t="shared" si="1"/>
        <v/>
      </c>
      <c r="O76" s="1682" t="str">
        <f t="shared" si="2"/>
        <v/>
      </c>
      <c r="P76" s="1512"/>
      <c r="Q76" s="1513" t="str">
        <f t="shared" si="3"/>
        <v/>
      </c>
      <c r="R76" s="1683" t="str">
        <f t="shared" si="4"/>
        <v/>
      </c>
      <c r="S76" s="1512"/>
      <c r="T76" s="1513" t="str">
        <f t="shared" si="5"/>
        <v/>
      </c>
      <c r="U76" s="1512"/>
      <c r="V76" s="1512"/>
      <c r="W76" s="1638"/>
      <c r="X76" s="955"/>
      <c r="Y76" s="955"/>
      <c r="Z76" s="955"/>
      <c r="AA76" s="955"/>
      <c r="AB76" s="955"/>
      <c r="AC76" s="955"/>
      <c r="AD76" s="955"/>
      <c r="AE76" s="955"/>
      <c r="AF76" s="955"/>
      <c r="AG76" s="955"/>
      <c r="AH76" s="955"/>
      <c r="AI76" s="955"/>
      <c r="AJ76" s="955"/>
      <c r="AK76" s="955"/>
      <c r="AL76" s="955"/>
      <c r="AM76" s="955"/>
      <c r="AN76" s="955"/>
      <c r="AO76" s="955"/>
      <c r="AP76" s="955"/>
      <c r="AQ76" s="955"/>
      <c r="AR76" s="955"/>
      <c r="AS76" s="955"/>
    </row>
    <row r="77" spans="2:45" s="1514" customFormat="1" x14ac:dyDescent="0.2">
      <c r="B77" s="1640"/>
      <c r="C77" s="1517"/>
      <c r="D77" s="1516"/>
      <c r="E77" s="1518"/>
      <c r="F77" s="1510"/>
      <c r="G77" s="1510"/>
      <c r="H77" s="1510"/>
      <c r="I77" s="1512"/>
      <c r="J77" s="1512"/>
      <c r="K77" s="1635" t="str">
        <f t="shared" si="0"/>
        <v/>
      </c>
      <c r="L77" s="1633"/>
      <c r="M77" s="1512"/>
      <c r="N77" s="1513" t="str">
        <f t="shared" si="1"/>
        <v/>
      </c>
      <c r="O77" s="1682" t="str">
        <f t="shared" si="2"/>
        <v/>
      </c>
      <c r="P77" s="1512"/>
      <c r="Q77" s="1513" t="str">
        <f t="shared" si="3"/>
        <v/>
      </c>
      <c r="R77" s="1683" t="str">
        <f t="shared" si="4"/>
        <v/>
      </c>
      <c r="S77" s="1512"/>
      <c r="T77" s="1513" t="str">
        <f t="shared" si="5"/>
        <v/>
      </c>
      <c r="U77" s="1512"/>
      <c r="V77" s="1512"/>
      <c r="W77" s="1638"/>
      <c r="X77" s="955"/>
      <c r="Y77" s="955"/>
      <c r="Z77" s="955"/>
      <c r="AA77" s="955"/>
      <c r="AB77" s="955"/>
      <c r="AC77" s="955"/>
      <c r="AD77" s="955"/>
      <c r="AE77" s="955"/>
      <c r="AF77" s="955"/>
      <c r="AG77" s="955"/>
      <c r="AH77" s="955"/>
      <c r="AI77" s="955"/>
      <c r="AJ77" s="955"/>
      <c r="AK77" s="955"/>
      <c r="AL77" s="955"/>
      <c r="AM77" s="955"/>
      <c r="AN77" s="955"/>
      <c r="AO77" s="955"/>
      <c r="AP77" s="955"/>
      <c r="AQ77" s="955"/>
      <c r="AR77" s="955"/>
      <c r="AS77" s="955"/>
    </row>
    <row r="78" spans="2:45" s="1514" customFormat="1" x14ac:dyDescent="0.2">
      <c r="B78" s="1640"/>
      <c r="C78" s="1517"/>
      <c r="D78" s="1516"/>
      <c r="E78" s="1518"/>
      <c r="F78" s="1510"/>
      <c r="G78" s="1510"/>
      <c r="H78" s="1510"/>
      <c r="I78" s="1512"/>
      <c r="J78" s="1512"/>
      <c r="K78" s="1635" t="str">
        <f t="shared" si="0"/>
        <v/>
      </c>
      <c r="L78" s="1633"/>
      <c r="M78" s="1512"/>
      <c r="N78" s="1513" t="str">
        <f t="shared" si="1"/>
        <v/>
      </c>
      <c r="O78" s="1682" t="str">
        <f t="shared" si="2"/>
        <v/>
      </c>
      <c r="P78" s="1512"/>
      <c r="Q78" s="1513" t="str">
        <f t="shared" si="3"/>
        <v/>
      </c>
      <c r="R78" s="1683" t="str">
        <f t="shared" si="4"/>
        <v/>
      </c>
      <c r="S78" s="1512"/>
      <c r="T78" s="1513" t="str">
        <f t="shared" si="5"/>
        <v/>
      </c>
      <c r="U78" s="1512"/>
      <c r="V78" s="1512"/>
      <c r="W78" s="1638"/>
      <c r="X78" s="955"/>
      <c r="Y78" s="955"/>
      <c r="Z78" s="955"/>
      <c r="AA78" s="955"/>
      <c r="AB78" s="955"/>
      <c r="AC78" s="955"/>
      <c r="AD78" s="955"/>
      <c r="AE78" s="955"/>
      <c r="AF78" s="955"/>
      <c r="AG78" s="955"/>
      <c r="AH78" s="955"/>
      <c r="AI78" s="955"/>
      <c r="AJ78" s="955"/>
      <c r="AK78" s="955"/>
      <c r="AL78" s="955"/>
      <c r="AM78" s="955"/>
      <c r="AN78" s="955"/>
      <c r="AO78" s="955"/>
      <c r="AP78" s="955"/>
      <c r="AQ78" s="955"/>
      <c r="AR78" s="955"/>
      <c r="AS78" s="955"/>
    </row>
    <row r="79" spans="2:45" s="1514" customFormat="1" x14ac:dyDescent="0.2">
      <c r="B79" s="1640"/>
      <c r="C79" s="1517"/>
      <c r="D79" s="1516"/>
      <c r="E79" s="1518"/>
      <c r="F79" s="1510"/>
      <c r="G79" s="1510"/>
      <c r="H79" s="1510"/>
      <c r="I79" s="1512"/>
      <c r="J79" s="1512"/>
      <c r="K79" s="1635" t="str">
        <f t="shared" si="0"/>
        <v/>
      </c>
      <c r="L79" s="1633"/>
      <c r="M79" s="1512"/>
      <c r="N79" s="1513" t="str">
        <f t="shared" si="1"/>
        <v/>
      </c>
      <c r="O79" s="1682" t="str">
        <f t="shared" si="2"/>
        <v/>
      </c>
      <c r="P79" s="1512"/>
      <c r="Q79" s="1513" t="str">
        <f t="shared" si="3"/>
        <v/>
      </c>
      <c r="R79" s="1683" t="str">
        <f t="shared" si="4"/>
        <v/>
      </c>
      <c r="S79" s="1512"/>
      <c r="T79" s="1513" t="str">
        <f t="shared" si="5"/>
        <v/>
      </c>
      <c r="U79" s="1512"/>
      <c r="V79" s="1512"/>
      <c r="W79" s="1638"/>
      <c r="X79" s="955"/>
      <c r="Y79" s="955"/>
      <c r="Z79" s="955"/>
      <c r="AA79" s="955"/>
      <c r="AB79" s="955"/>
      <c r="AC79" s="955"/>
      <c r="AD79" s="955"/>
      <c r="AE79" s="955"/>
      <c r="AF79" s="955"/>
      <c r="AG79" s="955"/>
      <c r="AH79" s="955"/>
      <c r="AI79" s="955"/>
      <c r="AJ79" s="955"/>
      <c r="AK79" s="955"/>
      <c r="AL79" s="955"/>
      <c r="AM79" s="955"/>
      <c r="AN79" s="955"/>
      <c r="AO79" s="955"/>
      <c r="AP79" s="955"/>
      <c r="AQ79" s="955"/>
      <c r="AR79" s="955"/>
      <c r="AS79" s="955"/>
    </row>
    <row r="80" spans="2:45" s="1514" customFormat="1" x14ac:dyDescent="0.2">
      <c r="B80" s="1640"/>
      <c r="C80" s="1517"/>
      <c r="D80" s="1516"/>
      <c r="E80" s="1518"/>
      <c r="F80" s="1510"/>
      <c r="G80" s="1510"/>
      <c r="H80" s="1510"/>
      <c r="I80" s="1512"/>
      <c r="J80" s="1512"/>
      <c r="K80" s="1635" t="str">
        <f t="shared" si="0"/>
        <v/>
      </c>
      <c r="L80" s="1633"/>
      <c r="M80" s="1512"/>
      <c r="N80" s="1513" t="str">
        <f t="shared" si="1"/>
        <v/>
      </c>
      <c r="O80" s="1682" t="str">
        <f t="shared" si="2"/>
        <v/>
      </c>
      <c r="P80" s="1512"/>
      <c r="Q80" s="1513" t="str">
        <f t="shared" si="3"/>
        <v/>
      </c>
      <c r="R80" s="1683" t="str">
        <f t="shared" si="4"/>
        <v/>
      </c>
      <c r="S80" s="1512"/>
      <c r="T80" s="1513" t="str">
        <f t="shared" si="5"/>
        <v/>
      </c>
      <c r="U80" s="1512"/>
      <c r="V80" s="1512"/>
      <c r="W80" s="1638"/>
      <c r="X80" s="955"/>
      <c r="Y80" s="955"/>
      <c r="Z80" s="955"/>
      <c r="AA80" s="955"/>
      <c r="AB80" s="955"/>
      <c r="AC80" s="955"/>
      <c r="AD80" s="955"/>
      <c r="AE80" s="955"/>
      <c r="AF80" s="955"/>
      <c r="AG80" s="955"/>
      <c r="AH80" s="955"/>
      <c r="AI80" s="955"/>
      <c r="AJ80" s="955"/>
      <c r="AK80" s="955"/>
      <c r="AL80" s="955"/>
      <c r="AM80" s="955"/>
      <c r="AN80" s="955"/>
      <c r="AO80" s="955"/>
      <c r="AP80" s="955"/>
      <c r="AQ80" s="955"/>
      <c r="AR80" s="955"/>
      <c r="AS80" s="955"/>
    </row>
    <row r="81" spans="2:45" s="1514" customFormat="1" x14ac:dyDescent="0.2">
      <c r="B81" s="1640"/>
      <c r="C81" s="1517"/>
      <c r="D81" s="1516"/>
      <c r="E81" s="1518"/>
      <c r="F81" s="1510"/>
      <c r="G81" s="1510"/>
      <c r="H81" s="1510"/>
      <c r="I81" s="1512"/>
      <c r="J81" s="1512"/>
      <c r="K81" s="1635" t="str">
        <f t="shared" si="0"/>
        <v/>
      </c>
      <c r="L81" s="1633"/>
      <c r="M81" s="1512"/>
      <c r="N81" s="1513" t="str">
        <f t="shared" si="1"/>
        <v/>
      </c>
      <c r="O81" s="1682" t="str">
        <f t="shared" si="2"/>
        <v/>
      </c>
      <c r="P81" s="1512"/>
      <c r="Q81" s="1513" t="str">
        <f t="shared" si="3"/>
        <v/>
      </c>
      <c r="R81" s="1683" t="str">
        <f t="shared" si="4"/>
        <v/>
      </c>
      <c r="S81" s="1512"/>
      <c r="T81" s="1513" t="str">
        <f t="shared" si="5"/>
        <v/>
      </c>
      <c r="U81" s="1512"/>
      <c r="V81" s="1512"/>
      <c r="W81" s="1638"/>
      <c r="X81" s="955"/>
      <c r="Y81" s="955"/>
      <c r="Z81" s="955"/>
      <c r="AA81" s="955"/>
      <c r="AB81" s="955"/>
      <c r="AC81" s="955"/>
      <c r="AD81" s="955"/>
      <c r="AE81" s="955"/>
      <c r="AF81" s="955"/>
      <c r="AG81" s="955"/>
      <c r="AH81" s="955"/>
      <c r="AI81" s="955"/>
      <c r="AJ81" s="955"/>
      <c r="AK81" s="955"/>
      <c r="AL81" s="955"/>
      <c r="AM81" s="955"/>
      <c r="AN81" s="955"/>
      <c r="AO81" s="955"/>
      <c r="AP81" s="955"/>
      <c r="AQ81" s="955"/>
      <c r="AR81" s="955"/>
      <c r="AS81" s="955"/>
    </row>
    <row r="82" spans="2:45" s="1514" customFormat="1" x14ac:dyDescent="0.2">
      <c r="B82" s="1640"/>
      <c r="C82" s="1517"/>
      <c r="D82" s="1516"/>
      <c r="E82" s="1518"/>
      <c r="F82" s="1510"/>
      <c r="G82" s="1510"/>
      <c r="H82" s="1510"/>
      <c r="I82" s="1512"/>
      <c r="J82" s="1512"/>
      <c r="K82" s="1635" t="str">
        <f t="shared" si="0"/>
        <v/>
      </c>
      <c r="L82" s="1633"/>
      <c r="M82" s="1512"/>
      <c r="N82" s="1513" t="str">
        <f t="shared" si="1"/>
        <v/>
      </c>
      <c r="O82" s="1682" t="str">
        <f t="shared" si="2"/>
        <v/>
      </c>
      <c r="P82" s="1512"/>
      <c r="Q82" s="1513" t="str">
        <f t="shared" si="3"/>
        <v/>
      </c>
      <c r="R82" s="1683" t="str">
        <f t="shared" si="4"/>
        <v/>
      </c>
      <c r="S82" s="1512"/>
      <c r="T82" s="1513" t="str">
        <f t="shared" si="5"/>
        <v/>
      </c>
      <c r="U82" s="1512"/>
      <c r="V82" s="1512"/>
      <c r="W82" s="1638"/>
      <c r="X82" s="955"/>
      <c r="Y82" s="955"/>
      <c r="Z82" s="955"/>
      <c r="AA82" s="955"/>
      <c r="AB82" s="955"/>
      <c r="AC82" s="955"/>
      <c r="AD82" s="955"/>
      <c r="AE82" s="955"/>
      <c r="AF82" s="955"/>
      <c r="AG82" s="955"/>
      <c r="AH82" s="955"/>
      <c r="AI82" s="955"/>
      <c r="AJ82" s="955"/>
      <c r="AK82" s="955"/>
      <c r="AL82" s="955"/>
      <c r="AM82" s="955"/>
      <c r="AN82" s="955"/>
      <c r="AO82" s="955"/>
      <c r="AP82" s="955"/>
      <c r="AQ82" s="955"/>
      <c r="AR82" s="955"/>
      <c r="AS82" s="955"/>
    </row>
    <row r="83" spans="2:45" s="1514" customFormat="1" x14ac:dyDescent="0.2">
      <c r="B83" s="1640"/>
      <c r="C83" s="1517"/>
      <c r="D83" s="1516"/>
      <c r="E83" s="1518"/>
      <c r="F83" s="1510"/>
      <c r="G83" s="1510"/>
      <c r="H83" s="1510"/>
      <c r="I83" s="1512"/>
      <c r="J83" s="1512"/>
      <c r="K83" s="1635" t="str">
        <f t="shared" si="0"/>
        <v/>
      </c>
      <c r="L83" s="1633"/>
      <c r="M83" s="1512"/>
      <c r="N83" s="1513" t="str">
        <f t="shared" si="1"/>
        <v/>
      </c>
      <c r="O83" s="1682" t="str">
        <f t="shared" si="2"/>
        <v/>
      </c>
      <c r="P83" s="1512"/>
      <c r="Q83" s="1513" t="str">
        <f t="shared" si="3"/>
        <v/>
      </c>
      <c r="R83" s="1683" t="str">
        <f t="shared" si="4"/>
        <v/>
      </c>
      <c r="S83" s="1512"/>
      <c r="T83" s="1513" t="str">
        <f t="shared" si="5"/>
        <v/>
      </c>
      <c r="U83" s="1512"/>
      <c r="V83" s="1512"/>
      <c r="W83" s="1638"/>
      <c r="X83" s="955"/>
      <c r="Y83" s="955"/>
      <c r="Z83" s="955"/>
      <c r="AA83" s="955"/>
      <c r="AB83" s="955"/>
      <c r="AC83" s="955"/>
      <c r="AD83" s="955"/>
      <c r="AE83" s="955"/>
      <c r="AF83" s="955"/>
      <c r="AG83" s="955"/>
      <c r="AH83" s="955"/>
      <c r="AI83" s="955"/>
      <c r="AJ83" s="955"/>
      <c r="AK83" s="955"/>
      <c r="AL83" s="955"/>
      <c r="AM83" s="955"/>
      <c r="AN83" s="955"/>
      <c r="AO83" s="955"/>
      <c r="AP83" s="955"/>
      <c r="AQ83" s="955"/>
      <c r="AR83" s="955"/>
      <c r="AS83" s="955"/>
    </row>
    <row r="84" spans="2:45" s="1514" customFormat="1" x14ac:dyDescent="0.2">
      <c r="B84" s="1640"/>
      <c r="C84" s="1517"/>
      <c r="D84" s="1516"/>
      <c r="E84" s="1518"/>
      <c r="F84" s="1510"/>
      <c r="G84" s="1510"/>
      <c r="H84" s="1510"/>
      <c r="I84" s="1512"/>
      <c r="J84" s="1512"/>
      <c r="K84" s="1635" t="str">
        <f t="shared" si="0"/>
        <v/>
      </c>
      <c r="L84" s="1633"/>
      <c r="M84" s="1512"/>
      <c r="N84" s="1513" t="str">
        <f t="shared" si="1"/>
        <v/>
      </c>
      <c r="O84" s="1682" t="str">
        <f t="shared" si="2"/>
        <v/>
      </c>
      <c r="P84" s="1512"/>
      <c r="Q84" s="1513" t="str">
        <f t="shared" si="3"/>
        <v/>
      </c>
      <c r="R84" s="1683" t="str">
        <f t="shared" si="4"/>
        <v/>
      </c>
      <c r="S84" s="1512"/>
      <c r="T84" s="1513" t="str">
        <f t="shared" si="5"/>
        <v/>
      </c>
      <c r="U84" s="1512"/>
      <c r="V84" s="1512"/>
      <c r="W84" s="1638"/>
      <c r="X84" s="955"/>
      <c r="Y84" s="955"/>
      <c r="Z84" s="955"/>
      <c r="AA84" s="955"/>
      <c r="AB84" s="955"/>
      <c r="AC84" s="955"/>
      <c r="AD84" s="955"/>
      <c r="AE84" s="955"/>
      <c r="AF84" s="955"/>
      <c r="AG84" s="955"/>
      <c r="AH84" s="955"/>
      <c r="AI84" s="955"/>
      <c r="AJ84" s="955"/>
      <c r="AK84" s="955"/>
      <c r="AL84" s="955"/>
      <c r="AM84" s="955"/>
      <c r="AN84" s="955"/>
      <c r="AO84" s="955"/>
      <c r="AP84" s="955"/>
      <c r="AQ84" s="955"/>
      <c r="AR84" s="955"/>
      <c r="AS84" s="955"/>
    </row>
    <row r="85" spans="2:45" s="1514" customFormat="1" x14ac:dyDescent="0.2">
      <c r="B85" s="1640"/>
      <c r="C85" s="1517"/>
      <c r="D85" s="1516"/>
      <c r="E85" s="1518"/>
      <c r="F85" s="1510"/>
      <c r="G85" s="1510"/>
      <c r="H85" s="1510"/>
      <c r="I85" s="1512"/>
      <c r="J85" s="1512"/>
      <c r="K85" s="1635" t="str">
        <f t="shared" si="0"/>
        <v/>
      </c>
      <c r="L85" s="1633"/>
      <c r="M85" s="1512"/>
      <c r="N85" s="1513" t="str">
        <f t="shared" si="1"/>
        <v/>
      </c>
      <c r="O85" s="1682" t="str">
        <f t="shared" si="2"/>
        <v/>
      </c>
      <c r="P85" s="1512"/>
      <c r="Q85" s="1513" t="str">
        <f t="shared" si="3"/>
        <v/>
      </c>
      <c r="R85" s="1683" t="str">
        <f t="shared" si="4"/>
        <v/>
      </c>
      <c r="S85" s="1512"/>
      <c r="T85" s="1513" t="str">
        <f t="shared" si="5"/>
        <v/>
      </c>
      <c r="U85" s="1512"/>
      <c r="V85" s="1512"/>
      <c r="W85" s="1638"/>
      <c r="X85" s="955"/>
      <c r="Y85" s="955"/>
      <c r="Z85" s="955"/>
      <c r="AA85" s="955"/>
      <c r="AB85" s="955"/>
      <c r="AC85" s="955"/>
      <c r="AD85" s="955"/>
      <c r="AE85" s="955"/>
      <c r="AF85" s="955"/>
      <c r="AG85" s="955"/>
      <c r="AH85" s="955"/>
      <c r="AI85" s="955"/>
      <c r="AJ85" s="955"/>
      <c r="AK85" s="955"/>
      <c r="AL85" s="955"/>
      <c r="AM85" s="955"/>
      <c r="AN85" s="955"/>
      <c r="AO85" s="955"/>
      <c r="AP85" s="955"/>
      <c r="AQ85" s="955"/>
      <c r="AR85" s="955"/>
      <c r="AS85" s="955"/>
    </row>
    <row r="86" spans="2:45" s="1514" customFormat="1" x14ac:dyDescent="0.2">
      <c r="B86" s="1640"/>
      <c r="C86" s="1517"/>
      <c r="D86" s="1516"/>
      <c r="E86" s="1518"/>
      <c r="F86" s="1510"/>
      <c r="G86" s="1510"/>
      <c r="H86" s="1510"/>
      <c r="I86" s="1512"/>
      <c r="J86" s="1512"/>
      <c r="K86" s="1635" t="str">
        <f t="shared" si="0"/>
        <v/>
      </c>
      <c r="L86" s="1633"/>
      <c r="M86" s="1512"/>
      <c r="N86" s="1513" t="str">
        <f t="shared" si="1"/>
        <v/>
      </c>
      <c r="O86" s="1682" t="str">
        <f t="shared" si="2"/>
        <v/>
      </c>
      <c r="P86" s="1512"/>
      <c r="Q86" s="1513" t="str">
        <f t="shared" si="3"/>
        <v/>
      </c>
      <c r="R86" s="1683" t="str">
        <f t="shared" si="4"/>
        <v/>
      </c>
      <c r="S86" s="1512"/>
      <c r="T86" s="1513" t="str">
        <f t="shared" si="5"/>
        <v/>
      </c>
      <c r="U86" s="1512"/>
      <c r="V86" s="1512"/>
      <c r="W86" s="1638"/>
      <c r="X86" s="955"/>
      <c r="Y86" s="955"/>
      <c r="Z86" s="955"/>
      <c r="AA86" s="955"/>
      <c r="AB86" s="955"/>
      <c r="AC86" s="955"/>
      <c r="AD86" s="955"/>
      <c r="AE86" s="955"/>
      <c r="AF86" s="955"/>
      <c r="AG86" s="955"/>
      <c r="AH86" s="955"/>
      <c r="AI86" s="955"/>
      <c r="AJ86" s="955"/>
      <c r="AK86" s="955"/>
      <c r="AL86" s="955"/>
      <c r="AM86" s="955"/>
      <c r="AN86" s="955"/>
      <c r="AO86" s="955"/>
      <c r="AP86" s="955"/>
      <c r="AQ86" s="955"/>
      <c r="AR86" s="955"/>
      <c r="AS86" s="955"/>
    </row>
    <row r="87" spans="2:45" s="1514" customFormat="1" x14ac:dyDescent="0.2">
      <c r="B87" s="1640"/>
      <c r="C87" s="1517"/>
      <c r="D87" s="1516"/>
      <c r="E87" s="1518"/>
      <c r="F87" s="1510"/>
      <c r="G87" s="1510"/>
      <c r="H87" s="1510"/>
      <c r="I87" s="1512"/>
      <c r="J87" s="1512"/>
      <c r="K87" s="1635" t="str">
        <f t="shared" si="0"/>
        <v/>
      </c>
      <c r="L87" s="1633"/>
      <c r="M87" s="1512"/>
      <c r="N87" s="1513" t="str">
        <f t="shared" si="1"/>
        <v/>
      </c>
      <c r="O87" s="1682" t="str">
        <f t="shared" si="2"/>
        <v/>
      </c>
      <c r="P87" s="1512"/>
      <c r="Q87" s="1513" t="str">
        <f t="shared" si="3"/>
        <v/>
      </c>
      <c r="R87" s="1683" t="str">
        <f t="shared" si="4"/>
        <v/>
      </c>
      <c r="S87" s="1512"/>
      <c r="T87" s="1513" t="str">
        <f t="shared" si="5"/>
        <v/>
      </c>
      <c r="U87" s="1512"/>
      <c r="V87" s="1512"/>
      <c r="W87" s="1638"/>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row>
    <row r="88" spans="2:45" s="1514" customFormat="1" x14ac:dyDescent="0.2">
      <c r="B88" s="1640"/>
      <c r="C88" s="1517"/>
      <c r="D88" s="1516"/>
      <c r="E88" s="1518"/>
      <c r="F88" s="1510"/>
      <c r="G88" s="1510"/>
      <c r="H88" s="1510"/>
      <c r="I88" s="1512"/>
      <c r="J88" s="1512"/>
      <c r="K88" s="1635" t="str">
        <f t="shared" si="0"/>
        <v/>
      </c>
      <c r="L88" s="1633"/>
      <c r="M88" s="1512"/>
      <c r="N88" s="1513" t="str">
        <f t="shared" si="1"/>
        <v/>
      </c>
      <c r="O88" s="1682" t="str">
        <f t="shared" si="2"/>
        <v/>
      </c>
      <c r="P88" s="1512"/>
      <c r="Q88" s="1513" t="str">
        <f t="shared" si="3"/>
        <v/>
      </c>
      <c r="R88" s="1683" t="str">
        <f t="shared" si="4"/>
        <v/>
      </c>
      <c r="S88" s="1512"/>
      <c r="T88" s="1513" t="str">
        <f t="shared" si="5"/>
        <v/>
      </c>
      <c r="U88" s="1512"/>
      <c r="V88" s="1512"/>
      <c r="W88" s="1638"/>
      <c r="X88" s="955"/>
      <c r="Y88" s="955"/>
      <c r="Z88" s="955"/>
      <c r="AA88" s="955"/>
      <c r="AB88" s="955"/>
      <c r="AC88" s="955"/>
      <c r="AD88" s="955"/>
      <c r="AE88" s="955"/>
      <c r="AF88" s="955"/>
      <c r="AG88" s="955"/>
      <c r="AH88" s="955"/>
      <c r="AI88" s="955"/>
      <c r="AJ88" s="955"/>
      <c r="AK88" s="955"/>
      <c r="AL88" s="955"/>
      <c r="AM88" s="955"/>
      <c r="AN88" s="955"/>
      <c r="AO88" s="955"/>
      <c r="AP88" s="955"/>
      <c r="AQ88" s="955"/>
      <c r="AR88" s="955"/>
      <c r="AS88" s="955"/>
    </row>
    <row r="89" spans="2:45" s="1514" customFormat="1" x14ac:dyDescent="0.2">
      <c r="B89" s="1640"/>
      <c r="C89" s="1517"/>
      <c r="D89" s="1516"/>
      <c r="E89" s="1518"/>
      <c r="F89" s="1510"/>
      <c r="G89" s="1510"/>
      <c r="H89" s="1510"/>
      <c r="I89" s="1512"/>
      <c r="J89" s="1512"/>
      <c r="K89" s="1635" t="str">
        <f t="shared" si="0"/>
        <v/>
      </c>
      <c r="L89" s="1633"/>
      <c r="M89" s="1512"/>
      <c r="N89" s="1513" t="str">
        <f t="shared" si="1"/>
        <v/>
      </c>
      <c r="O89" s="1682" t="str">
        <f t="shared" si="2"/>
        <v/>
      </c>
      <c r="P89" s="1512"/>
      <c r="Q89" s="1513" t="str">
        <f t="shared" si="3"/>
        <v/>
      </c>
      <c r="R89" s="1683" t="str">
        <f t="shared" si="4"/>
        <v/>
      </c>
      <c r="S89" s="1512"/>
      <c r="T89" s="1513" t="str">
        <f t="shared" si="5"/>
        <v/>
      </c>
      <c r="U89" s="1512"/>
      <c r="V89" s="1512"/>
      <c r="W89" s="1638"/>
      <c r="X89" s="955"/>
      <c r="Y89" s="955"/>
      <c r="Z89" s="955"/>
      <c r="AA89" s="955"/>
      <c r="AB89" s="955"/>
      <c r="AC89" s="955"/>
      <c r="AD89" s="955"/>
      <c r="AE89" s="955"/>
      <c r="AF89" s="955"/>
      <c r="AG89" s="955"/>
      <c r="AH89" s="955"/>
      <c r="AI89" s="955"/>
      <c r="AJ89" s="955"/>
      <c r="AK89" s="955"/>
      <c r="AL89" s="955"/>
      <c r="AM89" s="955"/>
      <c r="AN89" s="955"/>
      <c r="AO89" s="955"/>
      <c r="AP89" s="955"/>
      <c r="AQ89" s="955"/>
      <c r="AR89" s="955"/>
      <c r="AS89" s="955"/>
    </row>
    <row r="90" spans="2:45" s="1514" customFormat="1" x14ac:dyDescent="0.2">
      <c r="B90" s="1640"/>
      <c r="C90" s="1517"/>
      <c r="D90" s="1516"/>
      <c r="E90" s="1518"/>
      <c r="F90" s="1510"/>
      <c r="G90" s="1510"/>
      <c r="H90" s="1510"/>
      <c r="I90" s="1512"/>
      <c r="J90" s="1512"/>
      <c r="K90" s="1635" t="str">
        <f t="shared" ref="K90:K153" si="6">IF(AND(I90=0,J90=0),"",IF(J90&lt;&gt;0,IF(J90&gt;I90,100,J90/I90*100),0))</f>
        <v/>
      </c>
      <c r="L90" s="1633"/>
      <c r="M90" s="1512"/>
      <c r="N90" s="1513" t="str">
        <f t="shared" ref="N90:N153" si="7">IF(AND(L90=0,M90=0),"",IF(M90&lt;&gt;0,IF(M90&gt;L90,100,M90/L90*100),0))</f>
        <v/>
      </c>
      <c r="O90" s="1682" t="str">
        <f t="shared" ref="O90:O153" si="8">IF(L90="","",L90)</f>
        <v/>
      </c>
      <c r="P90" s="1512"/>
      <c r="Q90" s="1513" t="str">
        <f t="shared" ref="Q90:Q153" si="9">IF(O90="","",IF(AND(O90=0,P90=0),0,IF(P90&lt;&gt;0,IF(P90&gt;O90,100,P90/O90*100),0)))</f>
        <v/>
      </c>
      <c r="R90" s="1683" t="str">
        <f t="shared" ref="R90:R153" si="10">IF(P90="","",P90)</f>
        <v/>
      </c>
      <c r="S90" s="1512"/>
      <c r="T90" s="1513" t="str">
        <f t="shared" ref="T90:T153" si="11">IF(R90="","",IF(AND(R90=0,S90=0),0,IF(S90&lt;&gt;0,IF(S90&gt;R90,100,S90/R90*100),0)))</f>
        <v/>
      </c>
      <c r="U90" s="1512"/>
      <c r="V90" s="1512"/>
      <c r="W90" s="1638"/>
      <c r="X90" s="955"/>
      <c r="Y90" s="955"/>
      <c r="Z90" s="955"/>
      <c r="AA90" s="955"/>
      <c r="AB90" s="955"/>
      <c r="AC90" s="955"/>
      <c r="AD90" s="955"/>
      <c r="AE90" s="955"/>
      <c r="AF90" s="955"/>
      <c r="AG90" s="955"/>
      <c r="AH90" s="955"/>
      <c r="AI90" s="955"/>
      <c r="AJ90" s="955"/>
      <c r="AK90" s="955"/>
      <c r="AL90" s="955"/>
      <c r="AM90" s="955"/>
      <c r="AN90" s="955"/>
      <c r="AO90" s="955"/>
      <c r="AP90" s="955"/>
      <c r="AQ90" s="955"/>
      <c r="AR90" s="955"/>
      <c r="AS90" s="955"/>
    </row>
    <row r="91" spans="2:45" s="1514" customFormat="1" x14ac:dyDescent="0.2">
      <c r="B91" s="1640"/>
      <c r="C91" s="1517"/>
      <c r="D91" s="1516"/>
      <c r="E91" s="1518"/>
      <c r="F91" s="1510"/>
      <c r="G91" s="1510"/>
      <c r="H91" s="1510"/>
      <c r="I91" s="1512"/>
      <c r="J91" s="1512"/>
      <c r="K91" s="1635" t="str">
        <f t="shared" si="6"/>
        <v/>
      </c>
      <c r="L91" s="1633"/>
      <c r="M91" s="1512"/>
      <c r="N91" s="1513" t="str">
        <f t="shared" si="7"/>
        <v/>
      </c>
      <c r="O91" s="1682" t="str">
        <f t="shared" si="8"/>
        <v/>
      </c>
      <c r="P91" s="1512"/>
      <c r="Q91" s="1513" t="str">
        <f t="shared" si="9"/>
        <v/>
      </c>
      <c r="R91" s="1683" t="str">
        <f t="shared" si="10"/>
        <v/>
      </c>
      <c r="S91" s="1512"/>
      <c r="T91" s="1513" t="str">
        <f t="shared" si="11"/>
        <v/>
      </c>
      <c r="U91" s="1512"/>
      <c r="V91" s="1512"/>
      <c r="W91" s="1638"/>
      <c r="X91" s="955"/>
      <c r="Y91" s="955"/>
      <c r="Z91" s="955"/>
      <c r="AA91" s="955"/>
      <c r="AB91" s="955"/>
      <c r="AC91" s="955"/>
      <c r="AD91" s="955"/>
      <c r="AE91" s="955"/>
      <c r="AF91" s="955"/>
      <c r="AG91" s="955"/>
      <c r="AH91" s="955"/>
      <c r="AI91" s="955"/>
      <c r="AJ91" s="955"/>
      <c r="AK91" s="955"/>
      <c r="AL91" s="955"/>
      <c r="AM91" s="955"/>
      <c r="AN91" s="955"/>
      <c r="AO91" s="955"/>
      <c r="AP91" s="955"/>
      <c r="AQ91" s="955"/>
      <c r="AR91" s="955"/>
      <c r="AS91" s="955"/>
    </row>
    <row r="92" spans="2:45" s="1514" customFormat="1" x14ac:dyDescent="0.2">
      <c r="B92" s="1640"/>
      <c r="C92" s="1517"/>
      <c r="D92" s="1516"/>
      <c r="E92" s="1518"/>
      <c r="F92" s="1510"/>
      <c r="G92" s="1510"/>
      <c r="H92" s="1510"/>
      <c r="I92" s="1512"/>
      <c r="J92" s="1512"/>
      <c r="K92" s="1635" t="str">
        <f t="shared" si="6"/>
        <v/>
      </c>
      <c r="L92" s="1633"/>
      <c r="M92" s="1512"/>
      <c r="N92" s="1513" t="str">
        <f t="shared" si="7"/>
        <v/>
      </c>
      <c r="O92" s="1682" t="str">
        <f t="shared" si="8"/>
        <v/>
      </c>
      <c r="P92" s="1512"/>
      <c r="Q92" s="1513" t="str">
        <f t="shared" si="9"/>
        <v/>
      </c>
      <c r="R92" s="1683" t="str">
        <f t="shared" si="10"/>
        <v/>
      </c>
      <c r="S92" s="1512"/>
      <c r="T92" s="1513" t="str">
        <f t="shared" si="11"/>
        <v/>
      </c>
      <c r="U92" s="1512"/>
      <c r="V92" s="1512"/>
      <c r="W92" s="1638"/>
      <c r="X92" s="955"/>
      <c r="Y92" s="955"/>
      <c r="Z92" s="955"/>
      <c r="AA92" s="955"/>
      <c r="AB92" s="955"/>
      <c r="AC92" s="955"/>
      <c r="AD92" s="955"/>
      <c r="AE92" s="955"/>
      <c r="AF92" s="955"/>
      <c r="AG92" s="955"/>
      <c r="AH92" s="955"/>
      <c r="AI92" s="955"/>
      <c r="AJ92" s="955"/>
      <c r="AK92" s="955"/>
      <c r="AL92" s="955"/>
      <c r="AM92" s="955"/>
      <c r="AN92" s="955"/>
      <c r="AO92" s="955"/>
      <c r="AP92" s="955"/>
      <c r="AQ92" s="955"/>
      <c r="AR92" s="955"/>
      <c r="AS92" s="955"/>
    </row>
    <row r="93" spans="2:45" s="1514" customFormat="1" x14ac:dyDescent="0.2">
      <c r="B93" s="1640"/>
      <c r="C93" s="1517"/>
      <c r="D93" s="1516"/>
      <c r="E93" s="1518"/>
      <c r="F93" s="1510"/>
      <c r="G93" s="1510"/>
      <c r="H93" s="1510"/>
      <c r="I93" s="1512"/>
      <c r="J93" s="1512"/>
      <c r="K93" s="1635" t="str">
        <f t="shared" si="6"/>
        <v/>
      </c>
      <c r="L93" s="1633"/>
      <c r="M93" s="1512"/>
      <c r="N93" s="1513" t="str">
        <f t="shared" si="7"/>
        <v/>
      </c>
      <c r="O93" s="1682" t="str">
        <f t="shared" si="8"/>
        <v/>
      </c>
      <c r="P93" s="1512"/>
      <c r="Q93" s="1513" t="str">
        <f t="shared" si="9"/>
        <v/>
      </c>
      <c r="R93" s="1683" t="str">
        <f t="shared" si="10"/>
        <v/>
      </c>
      <c r="S93" s="1512"/>
      <c r="T93" s="1513" t="str">
        <f t="shared" si="11"/>
        <v/>
      </c>
      <c r="U93" s="1512"/>
      <c r="V93" s="1512"/>
      <c r="W93" s="1638"/>
      <c r="X93" s="955"/>
      <c r="Y93" s="955"/>
      <c r="Z93" s="955"/>
      <c r="AA93" s="955"/>
      <c r="AB93" s="955"/>
      <c r="AC93" s="955"/>
      <c r="AD93" s="955"/>
      <c r="AE93" s="955"/>
      <c r="AF93" s="955"/>
      <c r="AG93" s="955"/>
      <c r="AH93" s="955"/>
      <c r="AI93" s="955"/>
      <c r="AJ93" s="955"/>
      <c r="AK93" s="955"/>
      <c r="AL93" s="955"/>
      <c r="AM93" s="955"/>
      <c r="AN93" s="955"/>
      <c r="AO93" s="955"/>
      <c r="AP93" s="955"/>
      <c r="AQ93" s="955"/>
      <c r="AR93" s="955"/>
      <c r="AS93" s="955"/>
    </row>
    <row r="94" spans="2:45" s="1514" customFormat="1" x14ac:dyDescent="0.2">
      <c r="B94" s="1640"/>
      <c r="C94" s="1517"/>
      <c r="D94" s="1516"/>
      <c r="E94" s="1518"/>
      <c r="F94" s="1510"/>
      <c r="G94" s="1510"/>
      <c r="H94" s="1510"/>
      <c r="I94" s="1512"/>
      <c r="J94" s="1512"/>
      <c r="K94" s="1635" t="str">
        <f t="shared" si="6"/>
        <v/>
      </c>
      <c r="L94" s="1633"/>
      <c r="M94" s="1512"/>
      <c r="N94" s="1513" t="str">
        <f t="shared" si="7"/>
        <v/>
      </c>
      <c r="O94" s="1682" t="str">
        <f t="shared" si="8"/>
        <v/>
      </c>
      <c r="P94" s="1512"/>
      <c r="Q94" s="1513" t="str">
        <f t="shared" si="9"/>
        <v/>
      </c>
      <c r="R94" s="1683" t="str">
        <f t="shared" si="10"/>
        <v/>
      </c>
      <c r="S94" s="1512"/>
      <c r="T94" s="1513" t="str">
        <f t="shared" si="11"/>
        <v/>
      </c>
      <c r="U94" s="1512"/>
      <c r="V94" s="1512"/>
      <c r="W94" s="1638"/>
      <c r="X94" s="955"/>
      <c r="Y94" s="955"/>
      <c r="Z94" s="955"/>
      <c r="AA94" s="955"/>
      <c r="AB94" s="955"/>
      <c r="AC94" s="955"/>
      <c r="AD94" s="955"/>
      <c r="AE94" s="955"/>
      <c r="AF94" s="955"/>
      <c r="AG94" s="955"/>
      <c r="AH94" s="955"/>
      <c r="AI94" s="955"/>
      <c r="AJ94" s="955"/>
      <c r="AK94" s="955"/>
      <c r="AL94" s="955"/>
      <c r="AM94" s="955"/>
      <c r="AN94" s="955"/>
      <c r="AO94" s="955"/>
      <c r="AP94" s="955"/>
      <c r="AQ94" s="955"/>
      <c r="AR94" s="955"/>
      <c r="AS94" s="955"/>
    </row>
    <row r="95" spans="2:45" s="1514" customFormat="1" x14ac:dyDescent="0.2">
      <c r="B95" s="1640"/>
      <c r="C95" s="1517"/>
      <c r="D95" s="1516"/>
      <c r="E95" s="1518"/>
      <c r="F95" s="1510"/>
      <c r="G95" s="1510"/>
      <c r="H95" s="1510"/>
      <c r="I95" s="1512"/>
      <c r="J95" s="1512"/>
      <c r="K95" s="1635" t="str">
        <f t="shared" si="6"/>
        <v/>
      </c>
      <c r="L95" s="1633"/>
      <c r="M95" s="1512"/>
      <c r="N95" s="1513" t="str">
        <f t="shared" si="7"/>
        <v/>
      </c>
      <c r="O95" s="1682" t="str">
        <f t="shared" si="8"/>
        <v/>
      </c>
      <c r="P95" s="1512"/>
      <c r="Q95" s="1513" t="str">
        <f t="shared" si="9"/>
        <v/>
      </c>
      <c r="R95" s="1683" t="str">
        <f t="shared" si="10"/>
        <v/>
      </c>
      <c r="S95" s="1512"/>
      <c r="T95" s="1513" t="str">
        <f t="shared" si="11"/>
        <v/>
      </c>
      <c r="U95" s="1512"/>
      <c r="V95" s="1512"/>
      <c r="W95" s="1638"/>
      <c r="X95" s="955"/>
      <c r="Y95" s="955"/>
      <c r="Z95" s="955"/>
      <c r="AA95" s="955"/>
      <c r="AB95" s="955"/>
      <c r="AC95" s="955"/>
      <c r="AD95" s="955"/>
      <c r="AE95" s="955"/>
      <c r="AF95" s="955"/>
      <c r="AG95" s="955"/>
      <c r="AH95" s="955"/>
      <c r="AI95" s="955"/>
      <c r="AJ95" s="955"/>
      <c r="AK95" s="955"/>
      <c r="AL95" s="955"/>
      <c r="AM95" s="955"/>
      <c r="AN95" s="955"/>
      <c r="AO95" s="955"/>
      <c r="AP95" s="955"/>
      <c r="AQ95" s="955"/>
      <c r="AR95" s="955"/>
      <c r="AS95" s="955"/>
    </row>
    <row r="96" spans="2:45" s="1514" customFormat="1" x14ac:dyDescent="0.2">
      <c r="B96" s="1640"/>
      <c r="C96" s="1517"/>
      <c r="D96" s="1516"/>
      <c r="E96" s="1518"/>
      <c r="F96" s="1510"/>
      <c r="G96" s="1510"/>
      <c r="H96" s="1510"/>
      <c r="I96" s="1512"/>
      <c r="J96" s="1512"/>
      <c r="K96" s="1635" t="str">
        <f t="shared" si="6"/>
        <v/>
      </c>
      <c r="L96" s="1633"/>
      <c r="M96" s="1512"/>
      <c r="N96" s="1513" t="str">
        <f t="shared" si="7"/>
        <v/>
      </c>
      <c r="O96" s="1682" t="str">
        <f t="shared" si="8"/>
        <v/>
      </c>
      <c r="P96" s="1512"/>
      <c r="Q96" s="1513" t="str">
        <f t="shared" si="9"/>
        <v/>
      </c>
      <c r="R96" s="1683" t="str">
        <f t="shared" si="10"/>
        <v/>
      </c>
      <c r="S96" s="1512"/>
      <c r="T96" s="1513" t="str">
        <f t="shared" si="11"/>
        <v/>
      </c>
      <c r="U96" s="1512"/>
      <c r="V96" s="1512"/>
      <c r="W96" s="1638"/>
      <c r="X96" s="955"/>
      <c r="Y96" s="955"/>
      <c r="Z96" s="955"/>
      <c r="AA96" s="955"/>
      <c r="AB96" s="955"/>
      <c r="AC96" s="955"/>
      <c r="AD96" s="955"/>
      <c r="AE96" s="955"/>
      <c r="AF96" s="955"/>
      <c r="AG96" s="955"/>
      <c r="AH96" s="955"/>
      <c r="AI96" s="955"/>
      <c r="AJ96" s="955"/>
      <c r="AK96" s="955"/>
      <c r="AL96" s="955"/>
      <c r="AM96" s="955"/>
      <c r="AN96" s="955"/>
      <c r="AO96" s="955"/>
      <c r="AP96" s="955"/>
      <c r="AQ96" s="955"/>
      <c r="AR96" s="955"/>
      <c r="AS96" s="955"/>
    </row>
    <row r="97" spans="2:45" s="1514" customFormat="1" x14ac:dyDescent="0.2">
      <c r="B97" s="1640"/>
      <c r="C97" s="1517"/>
      <c r="D97" s="1516"/>
      <c r="E97" s="1518"/>
      <c r="F97" s="1510"/>
      <c r="G97" s="1510"/>
      <c r="H97" s="1510"/>
      <c r="I97" s="1512"/>
      <c r="J97" s="1512"/>
      <c r="K97" s="1635" t="str">
        <f t="shared" si="6"/>
        <v/>
      </c>
      <c r="L97" s="1633"/>
      <c r="M97" s="1512"/>
      <c r="N97" s="1513" t="str">
        <f t="shared" si="7"/>
        <v/>
      </c>
      <c r="O97" s="1682" t="str">
        <f t="shared" si="8"/>
        <v/>
      </c>
      <c r="P97" s="1512"/>
      <c r="Q97" s="1513" t="str">
        <f t="shared" si="9"/>
        <v/>
      </c>
      <c r="R97" s="1683" t="str">
        <f t="shared" si="10"/>
        <v/>
      </c>
      <c r="S97" s="1512"/>
      <c r="T97" s="1513" t="str">
        <f t="shared" si="11"/>
        <v/>
      </c>
      <c r="U97" s="1512"/>
      <c r="V97" s="1512"/>
      <c r="W97" s="1638"/>
      <c r="X97" s="955"/>
      <c r="Y97" s="955"/>
      <c r="Z97" s="955"/>
      <c r="AA97" s="955"/>
      <c r="AB97" s="955"/>
      <c r="AC97" s="955"/>
      <c r="AD97" s="955"/>
      <c r="AE97" s="955"/>
      <c r="AF97" s="955"/>
      <c r="AG97" s="955"/>
      <c r="AH97" s="955"/>
      <c r="AI97" s="955"/>
      <c r="AJ97" s="955"/>
      <c r="AK97" s="955"/>
      <c r="AL97" s="955"/>
      <c r="AM97" s="955"/>
      <c r="AN97" s="955"/>
      <c r="AO97" s="955"/>
      <c r="AP97" s="955"/>
      <c r="AQ97" s="955"/>
      <c r="AR97" s="955"/>
      <c r="AS97" s="955"/>
    </row>
    <row r="98" spans="2:45" s="1514" customFormat="1" x14ac:dyDescent="0.2">
      <c r="B98" s="1640"/>
      <c r="C98" s="1517"/>
      <c r="D98" s="1516"/>
      <c r="E98" s="1518"/>
      <c r="F98" s="1510"/>
      <c r="G98" s="1510"/>
      <c r="H98" s="1510"/>
      <c r="I98" s="1512"/>
      <c r="J98" s="1512"/>
      <c r="K98" s="1635" t="str">
        <f t="shared" si="6"/>
        <v/>
      </c>
      <c r="L98" s="1633"/>
      <c r="M98" s="1512"/>
      <c r="N98" s="1513" t="str">
        <f t="shared" si="7"/>
        <v/>
      </c>
      <c r="O98" s="1682" t="str">
        <f t="shared" si="8"/>
        <v/>
      </c>
      <c r="P98" s="1512"/>
      <c r="Q98" s="1513" t="str">
        <f t="shared" si="9"/>
        <v/>
      </c>
      <c r="R98" s="1683" t="str">
        <f t="shared" si="10"/>
        <v/>
      </c>
      <c r="S98" s="1512"/>
      <c r="T98" s="1513" t="str">
        <f t="shared" si="11"/>
        <v/>
      </c>
      <c r="U98" s="1512"/>
      <c r="V98" s="1512"/>
      <c r="W98" s="1638"/>
      <c r="X98" s="955"/>
      <c r="Y98" s="955"/>
      <c r="Z98" s="955"/>
      <c r="AA98" s="955"/>
      <c r="AB98" s="955"/>
      <c r="AC98" s="955"/>
      <c r="AD98" s="955"/>
      <c r="AE98" s="955"/>
      <c r="AF98" s="955"/>
      <c r="AG98" s="955"/>
      <c r="AH98" s="955"/>
      <c r="AI98" s="955"/>
      <c r="AJ98" s="955"/>
      <c r="AK98" s="955"/>
      <c r="AL98" s="955"/>
      <c r="AM98" s="955"/>
      <c r="AN98" s="955"/>
      <c r="AO98" s="955"/>
      <c r="AP98" s="955"/>
      <c r="AQ98" s="955"/>
      <c r="AR98" s="955"/>
      <c r="AS98" s="955"/>
    </row>
    <row r="99" spans="2:45" s="1514" customFormat="1" x14ac:dyDescent="0.2">
      <c r="B99" s="1640"/>
      <c r="C99" s="1517"/>
      <c r="D99" s="1516"/>
      <c r="E99" s="1518"/>
      <c r="F99" s="1510"/>
      <c r="G99" s="1510"/>
      <c r="H99" s="1510"/>
      <c r="I99" s="1512"/>
      <c r="J99" s="1512"/>
      <c r="K99" s="1635" t="str">
        <f t="shared" si="6"/>
        <v/>
      </c>
      <c r="L99" s="1633"/>
      <c r="M99" s="1512"/>
      <c r="N99" s="1513" t="str">
        <f t="shared" si="7"/>
        <v/>
      </c>
      <c r="O99" s="1682" t="str">
        <f t="shared" si="8"/>
        <v/>
      </c>
      <c r="P99" s="1512"/>
      <c r="Q99" s="1513" t="str">
        <f t="shared" si="9"/>
        <v/>
      </c>
      <c r="R99" s="1683" t="str">
        <f t="shared" si="10"/>
        <v/>
      </c>
      <c r="S99" s="1512"/>
      <c r="T99" s="1513" t="str">
        <f t="shared" si="11"/>
        <v/>
      </c>
      <c r="U99" s="1512"/>
      <c r="V99" s="1512"/>
      <c r="W99" s="1638"/>
      <c r="X99" s="955"/>
      <c r="Y99" s="955"/>
      <c r="Z99" s="955"/>
      <c r="AA99" s="955"/>
      <c r="AB99" s="955"/>
      <c r="AC99" s="955"/>
      <c r="AD99" s="955"/>
      <c r="AE99" s="955"/>
      <c r="AF99" s="955"/>
      <c r="AG99" s="955"/>
      <c r="AH99" s="955"/>
      <c r="AI99" s="955"/>
      <c r="AJ99" s="955"/>
      <c r="AK99" s="955"/>
      <c r="AL99" s="955"/>
      <c r="AM99" s="955"/>
      <c r="AN99" s="955"/>
      <c r="AO99" s="955"/>
      <c r="AP99" s="955"/>
      <c r="AQ99" s="955"/>
      <c r="AR99" s="955"/>
      <c r="AS99" s="955"/>
    </row>
    <row r="100" spans="2:45" s="1514" customFormat="1" x14ac:dyDescent="0.2">
      <c r="B100" s="1640"/>
      <c r="C100" s="1517"/>
      <c r="D100" s="1516"/>
      <c r="E100" s="1518"/>
      <c r="F100" s="1510"/>
      <c r="G100" s="1510"/>
      <c r="H100" s="1510"/>
      <c r="I100" s="1512"/>
      <c r="J100" s="1512"/>
      <c r="K100" s="1635" t="str">
        <f t="shared" si="6"/>
        <v/>
      </c>
      <c r="L100" s="1633"/>
      <c r="M100" s="1512"/>
      <c r="N100" s="1513" t="str">
        <f t="shared" si="7"/>
        <v/>
      </c>
      <c r="O100" s="1682" t="str">
        <f t="shared" si="8"/>
        <v/>
      </c>
      <c r="P100" s="1512"/>
      <c r="Q100" s="1513" t="str">
        <f t="shared" si="9"/>
        <v/>
      </c>
      <c r="R100" s="1683" t="str">
        <f t="shared" si="10"/>
        <v/>
      </c>
      <c r="S100" s="1512"/>
      <c r="T100" s="1513" t="str">
        <f t="shared" si="11"/>
        <v/>
      </c>
      <c r="U100" s="1512"/>
      <c r="V100" s="1512"/>
      <c r="W100" s="1638"/>
      <c r="X100" s="955"/>
      <c r="Y100" s="955"/>
      <c r="Z100" s="955"/>
      <c r="AA100" s="955"/>
      <c r="AB100" s="955"/>
      <c r="AC100" s="955"/>
      <c r="AD100" s="955"/>
      <c r="AE100" s="955"/>
      <c r="AF100" s="955"/>
      <c r="AG100" s="955"/>
      <c r="AH100" s="955"/>
      <c r="AI100" s="955"/>
      <c r="AJ100" s="955"/>
      <c r="AK100" s="955"/>
      <c r="AL100" s="955"/>
      <c r="AM100" s="955"/>
      <c r="AN100" s="955"/>
      <c r="AO100" s="955"/>
      <c r="AP100" s="955"/>
      <c r="AQ100" s="955"/>
      <c r="AR100" s="955"/>
      <c r="AS100" s="955"/>
    </row>
    <row r="101" spans="2:45" s="1514" customFormat="1" x14ac:dyDescent="0.2">
      <c r="B101" s="1640"/>
      <c r="C101" s="1517"/>
      <c r="D101" s="1516"/>
      <c r="E101" s="1518"/>
      <c r="F101" s="1510"/>
      <c r="G101" s="1510"/>
      <c r="H101" s="1510"/>
      <c r="I101" s="1512"/>
      <c r="J101" s="1512"/>
      <c r="K101" s="1635" t="str">
        <f t="shared" si="6"/>
        <v/>
      </c>
      <c r="L101" s="1633"/>
      <c r="M101" s="1512"/>
      <c r="N101" s="1513" t="str">
        <f t="shared" si="7"/>
        <v/>
      </c>
      <c r="O101" s="1682" t="str">
        <f t="shared" si="8"/>
        <v/>
      </c>
      <c r="P101" s="1512"/>
      <c r="Q101" s="1513" t="str">
        <f t="shared" si="9"/>
        <v/>
      </c>
      <c r="R101" s="1683" t="str">
        <f t="shared" si="10"/>
        <v/>
      </c>
      <c r="S101" s="1512"/>
      <c r="T101" s="1513" t="str">
        <f t="shared" si="11"/>
        <v/>
      </c>
      <c r="U101" s="1512"/>
      <c r="V101" s="1512"/>
      <c r="W101" s="1638"/>
      <c r="X101" s="955"/>
      <c r="Y101" s="955"/>
      <c r="Z101" s="955"/>
      <c r="AA101" s="955"/>
      <c r="AB101" s="955"/>
      <c r="AC101" s="955"/>
      <c r="AD101" s="955"/>
      <c r="AE101" s="955"/>
      <c r="AF101" s="955"/>
      <c r="AG101" s="955"/>
      <c r="AH101" s="955"/>
      <c r="AI101" s="955"/>
      <c r="AJ101" s="955"/>
      <c r="AK101" s="955"/>
      <c r="AL101" s="955"/>
      <c r="AM101" s="955"/>
      <c r="AN101" s="955"/>
      <c r="AO101" s="955"/>
      <c r="AP101" s="955"/>
      <c r="AQ101" s="955"/>
      <c r="AR101" s="955"/>
      <c r="AS101" s="955"/>
    </row>
    <row r="102" spans="2:45" s="1514" customFormat="1" x14ac:dyDescent="0.2">
      <c r="B102" s="1640"/>
      <c r="C102" s="1517"/>
      <c r="D102" s="1516"/>
      <c r="E102" s="1518"/>
      <c r="F102" s="1510"/>
      <c r="G102" s="1510"/>
      <c r="H102" s="1510"/>
      <c r="I102" s="1512"/>
      <c r="J102" s="1512"/>
      <c r="K102" s="1635" t="str">
        <f t="shared" si="6"/>
        <v/>
      </c>
      <c r="L102" s="1633"/>
      <c r="M102" s="1512"/>
      <c r="N102" s="1513" t="str">
        <f t="shared" si="7"/>
        <v/>
      </c>
      <c r="O102" s="1682" t="str">
        <f t="shared" si="8"/>
        <v/>
      </c>
      <c r="P102" s="1512"/>
      <c r="Q102" s="1513" t="str">
        <f t="shared" si="9"/>
        <v/>
      </c>
      <c r="R102" s="1683" t="str">
        <f t="shared" si="10"/>
        <v/>
      </c>
      <c r="S102" s="1512"/>
      <c r="T102" s="1513" t="str">
        <f t="shared" si="11"/>
        <v/>
      </c>
      <c r="U102" s="1512"/>
      <c r="V102" s="1512"/>
      <c r="W102" s="1638"/>
      <c r="X102" s="955"/>
      <c r="Y102" s="955"/>
      <c r="Z102" s="955"/>
      <c r="AA102" s="955"/>
      <c r="AB102" s="955"/>
      <c r="AC102" s="955"/>
      <c r="AD102" s="955"/>
      <c r="AE102" s="955"/>
      <c r="AF102" s="955"/>
      <c r="AG102" s="955"/>
      <c r="AH102" s="955"/>
      <c r="AI102" s="955"/>
      <c r="AJ102" s="955"/>
      <c r="AK102" s="955"/>
      <c r="AL102" s="955"/>
      <c r="AM102" s="955"/>
      <c r="AN102" s="955"/>
      <c r="AO102" s="955"/>
      <c r="AP102" s="955"/>
      <c r="AQ102" s="955"/>
      <c r="AR102" s="955"/>
      <c r="AS102" s="955"/>
    </row>
    <row r="103" spans="2:45" s="1514" customFormat="1" x14ac:dyDescent="0.2">
      <c r="B103" s="1640"/>
      <c r="C103" s="1517"/>
      <c r="D103" s="1516"/>
      <c r="E103" s="1518"/>
      <c r="F103" s="1510"/>
      <c r="G103" s="1510"/>
      <c r="H103" s="1510"/>
      <c r="I103" s="1512"/>
      <c r="J103" s="1512"/>
      <c r="K103" s="1635" t="str">
        <f t="shared" si="6"/>
        <v/>
      </c>
      <c r="L103" s="1633"/>
      <c r="M103" s="1512"/>
      <c r="N103" s="1513" t="str">
        <f t="shared" si="7"/>
        <v/>
      </c>
      <c r="O103" s="1682" t="str">
        <f t="shared" si="8"/>
        <v/>
      </c>
      <c r="P103" s="1512"/>
      <c r="Q103" s="1513" t="str">
        <f t="shared" si="9"/>
        <v/>
      </c>
      <c r="R103" s="1683" t="str">
        <f t="shared" si="10"/>
        <v/>
      </c>
      <c r="S103" s="1512"/>
      <c r="T103" s="1513" t="str">
        <f t="shared" si="11"/>
        <v/>
      </c>
      <c r="U103" s="1512"/>
      <c r="V103" s="1512"/>
      <c r="W103" s="1638"/>
      <c r="X103" s="955"/>
      <c r="Y103" s="955"/>
      <c r="Z103" s="955"/>
      <c r="AA103" s="955"/>
      <c r="AB103" s="955"/>
      <c r="AC103" s="955"/>
      <c r="AD103" s="955"/>
      <c r="AE103" s="955"/>
      <c r="AF103" s="955"/>
      <c r="AG103" s="955"/>
      <c r="AH103" s="955"/>
      <c r="AI103" s="955"/>
      <c r="AJ103" s="955"/>
      <c r="AK103" s="955"/>
      <c r="AL103" s="955"/>
      <c r="AM103" s="955"/>
      <c r="AN103" s="955"/>
      <c r="AO103" s="955"/>
      <c r="AP103" s="955"/>
      <c r="AQ103" s="955"/>
      <c r="AR103" s="955"/>
      <c r="AS103" s="955"/>
    </row>
    <row r="104" spans="2:45" s="1514" customFormat="1" x14ac:dyDescent="0.2">
      <c r="B104" s="1640"/>
      <c r="C104" s="1517"/>
      <c r="D104" s="1516"/>
      <c r="E104" s="1518"/>
      <c r="F104" s="1510"/>
      <c r="G104" s="1510"/>
      <c r="H104" s="1510"/>
      <c r="I104" s="1512"/>
      <c r="J104" s="1512"/>
      <c r="K104" s="1635" t="str">
        <f t="shared" si="6"/>
        <v/>
      </c>
      <c r="L104" s="1633"/>
      <c r="M104" s="1512"/>
      <c r="N104" s="1513" t="str">
        <f t="shared" si="7"/>
        <v/>
      </c>
      <c r="O104" s="1682" t="str">
        <f t="shared" si="8"/>
        <v/>
      </c>
      <c r="P104" s="1512"/>
      <c r="Q104" s="1513" t="str">
        <f t="shared" si="9"/>
        <v/>
      </c>
      <c r="R104" s="1683" t="str">
        <f t="shared" si="10"/>
        <v/>
      </c>
      <c r="S104" s="1512"/>
      <c r="T104" s="1513" t="str">
        <f t="shared" si="11"/>
        <v/>
      </c>
      <c r="U104" s="1512"/>
      <c r="V104" s="1512"/>
      <c r="W104" s="1638"/>
      <c r="X104" s="955"/>
      <c r="Y104" s="955"/>
      <c r="Z104" s="955"/>
      <c r="AA104" s="955"/>
      <c r="AB104" s="955"/>
      <c r="AC104" s="955"/>
      <c r="AD104" s="955"/>
      <c r="AE104" s="955"/>
      <c r="AF104" s="955"/>
      <c r="AG104" s="955"/>
      <c r="AH104" s="955"/>
      <c r="AI104" s="955"/>
      <c r="AJ104" s="955"/>
      <c r="AK104" s="955"/>
      <c r="AL104" s="955"/>
      <c r="AM104" s="955"/>
      <c r="AN104" s="955"/>
      <c r="AO104" s="955"/>
      <c r="AP104" s="955"/>
      <c r="AQ104" s="955"/>
      <c r="AR104" s="955"/>
      <c r="AS104" s="955"/>
    </row>
    <row r="105" spans="2:45" s="1514" customFormat="1" x14ac:dyDescent="0.2">
      <c r="B105" s="1640"/>
      <c r="C105" s="1517"/>
      <c r="D105" s="1516"/>
      <c r="E105" s="1518"/>
      <c r="F105" s="1510"/>
      <c r="G105" s="1510"/>
      <c r="H105" s="1510"/>
      <c r="I105" s="1512"/>
      <c r="J105" s="1512"/>
      <c r="K105" s="1635" t="str">
        <f t="shared" si="6"/>
        <v/>
      </c>
      <c r="L105" s="1633"/>
      <c r="M105" s="1512"/>
      <c r="N105" s="1513" t="str">
        <f t="shared" si="7"/>
        <v/>
      </c>
      <c r="O105" s="1682" t="str">
        <f t="shared" si="8"/>
        <v/>
      </c>
      <c r="P105" s="1512"/>
      <c r="Q105" s="1513" t="str">
        <f t="shared" si="9"/>
        <v/>
      </c>
      <c r="R105" s="1683" t="str">
        <f t="shared" si="10"/>
        <v/>
      </c>
      <c r="S105" s="1512"/>
      <c r="T105" s="1513" t="str">
        <f t="shared" si="11"/>
        <v/>
      </c>
      <c r="U105" s="1512"/>
      <c r="V105" s="1512"/>
      <c r="W105" s="1638"/>
      <c r="X105" s="955"/>
      <c r="Y105" s="955"/>
      <c r="Z105" s="955"/>
      <c r="AA105" s="955"/>
      <c r="AB105" s="955"/>
      <c r="AC105" s="955"/>
      <c r="AD105" s="955"/>
      <c r="AE105" s="955"/>
      <c r="AF105" s="955"/>
      <c r="AG105" s="955"/>
      <c r="AH105" s="955"/>
      <c r="AI105" s="955"/>
      <c r="AJ105" s="955"/>
      <c r="AK105" s="955"/>
      <c r="AL105" s="955"/>
      <c r="AM105" s="955"/>
      <c r="AN105" s="955"/>
      <c r="AO105" s="955"/>
      <c r="AP105" s="955"/>
      <c r="AQ105" s="955"/>
      <c r="AR105" s="955"/>
      <c r="AS105" s="955"/>
    </row>
    <row r="106" spans="2:45" s="1514" customFormat="1" x14ac:dyDescent="0.2">
      <c r="B106" s="1640"/>
      <c r="C106" s="1517"/>
      <c r="D106" s="1516"/>
      <c r="E106" s="1518"/>
      <c r="F106" s="1510"/>
      <c r="G106" s="1510"/>
      <c r="H106" s="1510"/>
      <c r="I106" s="1512"/>
      <c r="J106" s="1512"/>
      <c r="K106" s="1635" t="str">
        <f t="shared" si="6"/>
        <v/>
      </c>
      <c r="L106" s="1633"/>
      <c r="M106" s="1512"/>
      <c r="N106" s="1513" t="str">
        <f t="shared" si="7"/>
        <v/>
      </c>
      <c r="O106" s="1682" t="str">
        <f t="shared" si="8"/>
        <v/>
      </c>
      <c r="P106" s="1512"/>
      <c r="Q106" s="1513" t="str">
        <f t="shared" si="9"/>
        <v/>
      </c>
      <c r="R106" s="1683" t="str">
        <f t="shared" si="10"/>
        <v/>
      </c>
      <c r="S106" s="1512"/>
      <c r="T106" s="1513" t="str">
        <f t="shared" si="11"/>
        <v/>
      </c>
      <c r="U106" s="1512"/>
      <c r="V106" s="1512"/>
      <c r="W106" s="1638"/>
      <c r="X106" s="955"/>
      <c r="Y106" s="955"/>
      <c r="Z106" s="955"/>
      <c r="AA106" s="955"/>
      <c r="AB106" s="955"/>
      <c r="AC106" s="955"/>
      <c r="AD106" s="955"/>
      <c r="AE106" s="955"/>
      <c r="AF106" s="955"/>
      <c r="AG106" s="955"/>
      <c r="AH106" s="955"/>
      <c r="AI106" s="955"/>
      <c r="AJ106" s="955"/>
      <c r="AK106" s="955"/>
      <c r="AL106" s="955"/>
      <c r="AM106" s="955"/>
      <c r="AN106" s="955"/>
      <c r="AO106" s="955"/>
      <c r="AP106" s="955"/>
      <c r="AQ106" s="955"/>
      <c r="AR106" s="955"/>
      <c r="AS106" s="955"/>
    </row>
    <row r="107" spans="2:45" s="1514" customFormat="1" x14ac:dyDescent="0.2">
      <c r="B107" s="1640"/>
      <c r="C107" s="1517"/>
      <c r="D107" s="1516"/>
      <c r="E107" s="1518"/>
      <c r="F107" s="1510"/>
      <c r="G107" s="1510"/>
      <c r="H107" s="1510"/>
      <c r="I107" s="1512"/>
      <c r="J107" s="1512"/>
      <c r="K107" s="1635" t="str">
        <f t="shared" si="6"/>
        <v/>
      </c>
      <c r="L107" s="1633"/>
      <c r="M107" s="1512"/>
      <c r="N107" s="1513" t="str">
        <f t="shared" si="7"/>
        <v/>
      </c>
      <c r="O107" s="1682" t="str">
        <f t="shared" si="8"/>
        <v/>
      </c>
      <c r="P107" s="1512"/>
      <c r="Q107" s="1513" t="str">
        <f t="shared" si="9"/>
        <v/>
      </c>
      <c r="R107" s="1683" t="str">
        <f t="shared" si="10"/>
        <v/>
      </c>
      <c r="S107" s="1512"/>
      <c r="T107" s="1513" t="str">
        <f t="shared" si="11"/>
        <v/>
      </c>
      <c r="U107" s="1512"/>
      <c r="V107" s="1512"/>
      <c r="W107" s="1638"/>
      <c r="X107" s="955"/>
      <c r="Y107" s="955"/>
      <c r="Z107" s="955"/>
      <c r="AA107" s="955"/>
      <c r="AB107" s="955"/>
      <c r="AC107" s="955"/>
      <c r="AD107" s="955"/>
      <c r="AE107" s="955"/>
      <c r="AF107" s="955"/>
      <c r="AG107" s="955"/>
      <c r="AH107" s="955"/>
      <c r="AI107" s="955"/>
      <c r="AJ107" s="955"/>
      <c r="AK107" s="955"/>
      <c r="AL107" s="955"/>
      <c r="AM107" s="955"/>
      <c r="AN107" s="955"/>
      <c r="AO107" s="955"/>
      <c r="AP107" s="955"/>
      <c r="AQ107" s="955"/>
      <c r="AR107" s="955"/>
      <c r="AS107" s="955"/>
    </row>
    <row r="108" spans="2:45" s="1514" customFormat="1" x14ac:dyDescent="0.2">
      <c r="B108" s="1640"/>
      <c r="C108" s="1517"/>
      <c r="D108" s="1516"/>
      <c r="E108" s="1518"/>
      <c r="F108" s="1510"/>
      <c r="G108" s="1510"/>
      <c r="H108" s="1510"/>
      <c r="I108" s="1512"/>
      <c r="J108" s="1512"/>
      <c r="K108" s="1635" t="str">
        <f t="shared" si="6"/>
        <v/>
      </c>
      <c r="L108" s="1633"/>
      <c r="M108" s="1512"/>
      <c r="N108" s="1513" t="str">
        <f t="shared" si="7"/>
        <v/>
      </c>
      <c r="O108" s="1682" t="str">
        <f t="shared" si="8"/>
        <v/>
      </c>
      <c r="P108" s="1512"/>
      <c r="Q108" s="1513" t="str">
        <f t="shared" si="9"/>
        <v/>
      </c>
      <c r="R108" s="1683" t="str">
        <f t="shared" si="10"/>
        <v/>
      </c>
      <c r="S108" s="1512"/>
      <c r="T108" s="1513" t="str">
        <f t="shared" si="11"/>
        <v/>
      </c>
      <c r="U108" s="1512"/>
      <c r="V108" s="1512"/>
      <c r="W108" s="1638"/>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row>
    <row r="109" spans="2:45" s="1514" customFormat="1" x14ac:dyDescent="0.2">
      <c r="B109" s="1640"/>
      <c r="C109" s="1517"/>
      <c r="D109" s="1516"/>
      <c r="E109" s="1518"/>
      <c r="F109" s="1510"/>
      <c r="G109" s="1510"/>
      <c r="H109" s="1510"/>
      <c r="I109" s="1512"/>
      <c r="J109" s="1512"/>
      <c r="K109" s="1635" t="str">
        <f t="shared" si="6"/>
        <v/>
      </c>
      <c r="L109" s="1633"/>
      <c r="M109" s="1512"/>
      <c r="N109" s="1513" t="str">
        <f t="shared" si="7"/>
        <v/>
      </c>
      <c r="O109" s="1682" t="str">
        <f t="shared" si="8"/>
        <v/>
      </c>
      <c r="P109" s="1512"/>
      <c r="Q109" s="1513" t="str">
        <f t="shared" si="9"/>
        <v/>
      </c>
      <c r="R109" s="1683" t="str">
        <f t="shared" si="10"/>
        <v/>
      </c>
      <c r="S109" s="1512"/>
      <c r="T109" s="1513" t="str">
        <f t="shared" si="11"/>
        <v/>
      </c>
      <c r="U109" s="1512"/>
      <c r="V109" s="1512"/>
      <c r="W109" s="1638"/>
      <c r="X109" s="955"/>
      <c r="Y109" s="955"/>
      <c r="Z109" s="955"/>
      <c r="AA109" s="955"/>
      <c r="AB109" s="955"/>
      <c r="AC109" s="955"/>
      <c r="AD109" s="955"/>
      <c r="AE109" s="955"/>
      <c r="AF109" s="955"/>
      <c r="AG109" s="955"/>
      <c r="AH109" s="955"/>
      <c r="AI109" s="955"/>
      <c r="AJ109" s="955"/>
      <c r="AK109" s="955"/>
      <c r="AL109" s="955"/>
      <c r="AM109" s="955"/>
      <c r="AN109" s="955"/>
      <c r="AO109" s="955"/>
      <c r="AP109" s="955"/>
      <c r="AQ109" s="955"/>
      <c r="AR109" s="955"/>
      <c r="AS109" s="955"/>
    </row>
    <row r="110" spans="2:45" s="1514" customFormat="1" x14ac:dyDescent="0.2">
      <c r="B110" s="1640"/>
      <c r="C110" s="1517"/>
      <c r="D110" s="1516"/>
      <c r="E110" s="1518"/>
      <c r="F110" s="1510"/>
      <c r="G110" s="1510"/>
      <c r="H110" s="1510"/>
      <c r="I110" s="1512"/>
      <c r="J110" s="1512"/>
      <c r="K110" s="1635" t="str">
        <f t="shared" si="6"/>
        <v/>
      </c>
      <c r="L110" s="1633"/>
      <c r="M110" s="1512"/>
      <c r="N110" s="1513" t="str">
        <f t="shared" si="7"/>
        <v/>
      </c>
      <c r="O110" s="1682" t="str">
        <f t="shared" si="8"/>
        <v/>
      </c>
      <c r="P110" s="1512"/>
      <c r="Q110" s="1513" t="str">
        <f t="shared" si="9"/>
        <v/>
      </c>
      <c r="R110" s="1683" t="str">
        <f t="shared" si="10"/>
        <v/>
      </c>
      <c r="S110" s="1512"/>
      <c r="T110" s="1513" t="str">
        <f t="shared" si="11"/>
        <v/>
      </c>
      <c r="U110" s="1512"/>
      <c r="V110" s="1512"/>
      <c r="W110" s="1638"/>
      <c r="X110" s="955"/>
      <c r="Y110" s="955"/>
      <c r="Z110" s="955"/>
      <c r="AA110" s="955"/>
      <c r="AB110" s="955"/>
      <c r="AC110" s="955"/>
      <c r="AD110" s="955"/>
      <c r="AE110" s="955"/>
      <c r="AF110" s="955"/>
      <c r="AG110" s="955"/>
      <c r="AH110" s="955"/>
      <c r="AI110" s="955"/>
      <c r="AJ110" s="955"/>
      <c r="AK110" s="955"/>
      <c r="AL110" s="955"/>
      <c r="AM110" s="955"/>
      <c r="AN110" s="955"/>
      <c r="AO110" s="955"/>
      <c r="AP110" s="955"/>
      <c r="AQ110" s="955"/>
      <c r="AR110" s="955"/>
      <c r="AS110" s="955"/>
    </row>
    <row r="111" spans="2:45" s="1514" customFormat="1" x14ac:dyDescent="0.2">
      <c r="B111" s="1640"/>
      <c r="C111" s="1517"/>
      <c r="D111" s="1516"/>
      <c r="E111" s="1518"/>
      <c r="F111" s="1510"/>
      <c r="G111" s="1510"/>
      <c r="H111" s="1510"/>
      <c r="I111" s="1512"/>
      <c r="J111" s="1512"/>
      <c r="K111" s="1635" t="str">
        <f t="shared" si="6"/>
        <v/>
      </c>
      <c r="L111" s="1633"/>
      <c r="M111" s="1512"/>
      <c r="N111" s="1513" t="str">
        <f t="shared" si="7"/>
        <v/>
      </c>
      <c r="O111" s="1682" t="str">
        <f t="shared" si="8"/>
        <v/>
      </c>
      <c r="P111" s="1512"/>
      <c r="Q111" s="1513" t="str">
        <f t="shared" si="9"/>
        <v/>
      </c>
      <c r="R111" s="1683" t="str">
        <f t="shared" si="10"/>
        <v/>
      </c>
      <c r="S111" s="1512"/>
      <c r="T111" s="1513" t="str">
        <f t="shared" si="11"/>
        <v/>
      </c>
      <c r="U111" s="1512"/>
      <c r="V111" s="1512"/>
      <c r="W111" s="1638"/>
      <c r="X111" s="955"/>
      <c r="Y111" s="955"/>
      <c r="Z111" s="955"/>
      <c r="AA111" s="955"/>
      <c r="AB111" s="955"/>
      <c r="AC111" s="955"/>
      <c r="AD111" s="955"/>
      <c r="AE111" s="955"/>
      <c r="AF111" s="955"/>
      <c r="AG111" s="955"/>
      <c r="AH111" s="955"/>
      <c r="AI111" s="955"/>
      <c r="AJ111" s="955"/>
      <c r="AK111" s="955"/>
      <c r="AL111" s="955"/>
      <c r="AM111" s="955"/>
      <c r="AN111" s="955"/>
      <c r="AO111" s="955"/>
      <c r="AP111" s="955"/>
      <c r="AQ111" s="955"/>
      <c r="AR111" s="955"/>
      <c r="AS111" s="955"/>
    </row>
    <row r="112" spans="2:45" s="1514" customFormat="1" x14ac:dyDescent="0.2">
      <c r="B112" s="1640"/>
      <c r="C112" s="1517"/>
      <c r="D112" s="1516"/>
      <c r="E112" s="1518"/>
      <c r="F112" s="1510"/>
      <c r="G112" s="1510"/>
      <c r="H112" s="1510"/>
      <c r="I112" s="1512"/>
      <c r="J112" s="1512"/>
      <c r="K112" s="1635" t="str">
        <f t="shared" si="6"/>
        <v/>
      </c>
      <c r="L112" s="1633"/>
      <c r="M112" s="1512"/>
      <c r="N112" s="1513" t="str">
        <f t="shared" si="7"/>
        <v/>
      </c>
      <c r="O112" s="1682" t="str">
        <f t="shared" si="8"/>
        <v/>
      </c>
      <c r="P112" s="1512"/>
      <c r="Q112" s="1513" t="str">
        <f t="shared" si="9"/>
        <v/>
      </c>
      <c r="R112" s="1683" t="str">
        <f t="shared" si="10"/>
        <v/>
      </c>
      <c r="S112" s="1512"/>
      <c r="T112" s="1513" t="str">
        <f t="shared" si="11"/>
        <v/>
      </c>
      <c r="U112" s="1512"/>
      <c r="V112" s="1512"/>
      <c r="W112" s="1638"/>
      <c r="X112" s="955"/>
      <c r="Y112" s="955"/>
      <c r="Z112" s="955"/>
      <c r="AA112" s="955"/>
      <c r="AB112" s="955"/>
      <c r="AC112" s="955"/>
      <c r="AD112" s="955"/>
      <c r="AE112" s="955"/>
      <c r="AF112" s="955"/>
      <c r="AG112" s="955"/>
      <c r="AH112" s="955"/>
      <c r="AI112" s="955"/>
      <c r="AJ112" s="955"/>
      <c r="AK112" s="955"/>
      <c r="AL112" s="955"/>
      <c r="AM112" s="955"/>
      <c r="AN112" s="955"/>
      <c r="AO112" s="955"/>
      <c r="AP112" s="955"/>
      <c r="AQ112" s="955"/>
      <c r="AR112" s="955"/>
      <c r="AS112" s="955"/>
    </row>
    <row r="113" spans="2:45" s="1514" customFormat="1" x14ac:dyDescent="0.2">
      <c r="B113" s="1640"/>
      <c r="C113" s="1517"/>
      <c r="D113" s="1516"/>
      <c r="E113" s="1518"/>
      <c r="F113" s="1510"/>
      <c r="G113" s="1510"/>
      <c r="H113" s="1510"/>
      <c r="I113" s="1512"/>
      <c r="J113" s="1512"/>
      <c r="K113" s="1635" t="str">
        <f t="shared" si="6"/>
        <v/>
      </c>
      <c r="L113" s="1633"/>
      <c r="M113" s="1512"/>
      <c r="N113" s="1513" t="str">
        <f t="shared" si="7"/>
        <v/>
      </c>
      <c r="O113" s="1682" t="str">
        <f t="shared" si="8"/>
        <v/>
      </c>
      <c r="P113" s="1512"/>
      <c r="Q113" s="1513" t="str">
        <f t="shared" si="9"/>
        <v/>
      </c>
      <c r="R113" s="1683" t="str">
        <f t="shared" si="10"/>
        <v/>
      </c>
      <c r="S113" s="1512"/>
      <c r="T113" s="1513" t="str">
        <f t="shared" si="11"/>
        <v/>
      </c>
      <c r="U113" s="1512"/>
      <c r="V113" s="1512"/>
      <c r="W113" s="1638"/>
      <c r="X113" s="955"/>
      <c r="Y113" s="955"/>
      <c r="Z113" s="955"/>
      <c r="AA113" s="955"/>
      <c r="AB113" s="955"/>
      <c r="AC113" s="955"/>
      <c r="AD113" s="955"/>
      <c r="AE113" s="955"/>
      <c r="AF113" s="955"/>
      <c r="AG113" s="955"/>
      <c r="AH113" s="955"/>
      <c r="AI113" s="955"/>
      <c r="AJ113" s="955"/>
      <c r="AK113" s="955"/>
      <c r="AL113" s="955"/>
      <c r="AM113" s="955"/>
      <c r="AN113" s="955"/>
      <c r="AO113" s="955"/>
      <c r="AP113" s="955"/>
      <c r="AQ113" s="955"/>
      <c r="AR113" s="955"/>
      <c r="AS113" s="955"/>
    </row>
    <row r="114" spans="2:45" s="1514" customFormat="1" x14ac:dyDescent="0.2">
      <c r="B114" s="1640"/>
      <c r="C114" s="1517"/>
      <c r="D114" s="1516"/>
      <c r="E114" s="1518"/>
      <c r="F114" s="1510"/>
      <c r="G114" s="1510"/>
      <c r="H114" s="1510"/>
      <c r="I114" s="1512"/>
      <c r="J114" s="1512"/>
      <c r="K114" s="1635" t="str">
        <f t="shared" si="6"/>
        <v/>
      </c>
      <c r="L114" s="1633"/>
      <c r="M114" s="1512"/>
      <c r="N114" s="1513" t="str">
        <f t="shared" si="7"/>
        <v/>
      </c>
      <c r="O114" s="1682" t="str">
        <f t="shared" si="8"/>
        <v/>
      </c>
      <c r="P114" s="1512"/>
      <c r="Q114" s="1513" t="str">
        <f t="shared" si="9"/>
        <v/>
      </c>
      <c r="R114" s="1683" t="str">
        <f t="shared" si="10"/>
        <v/>
      </c>
      <c r="S114" s="1512"/>
      <c r="T114" s="1513" t="str">
        <f t="shared" si="11"/>
        <v/>
      </c>
      <c r="U114" s="1512"/>
      <c r="V114" s="1512"/>
      <c r="W114" s="1638"/>
      <c r="X114" s="955"/>
      <c r="Y114" s="955"/>
      <c r="Z114" s="955"/>
      <c r="AA114" s="955"/>
      <c r="AB114" s="955"/>
      <c r="AC114" s="955"/>
      <c r="AD114" s="955"/>
      <c r="AE114" s="955"/>
      <c r="AF114" s="955"/>
      <c r="AG114" s="955"/>
      <c r="AH114" s="955"/>
      <c r="AI114" s="955"/>
      <c r="AJ114" s="955"/>
      <c r="AK114" s="955"/>
      <c r="AL114" s="955"/>
      <c r="AM114" s="955"/>
      <c r="AN114" s="955"/>
      <c r="AO114" s="955"/>
      <c r="AP114" s="955"/>
      <c r="AQ114" s="955"/>
      <c r="AR114" s="955"/>
      <c r="AS114" s="955"/>
    </row>
    <row r="115" spans="2:45" s="1514" customFormat="1" x14ac:dyDescent="0.2">
      <c r="B115" s="1640"/>
      <c r="C115" s="1517"/>
      <c r="D115" s="1516"/>
      <c r="E115" s="1518"/>
      <c r="F115" s="1510"/>
      <c r="G115" s="1510"/>
      <c r="H115" s="1510"/>
      <c r="I115" s="1512"/>
      <c r="J115" s="1512"/>
      <c r="K115" s="1635" t="str">
        <f t="shared" si="6"/>
        <v/>
      </c>
      <c r="L115" s="1633"/>
      <c r="M115" s="1512"/>
      <c r="N115" s="1513" t="str">
        <f t="shared" si="7"/>
        <v/>
      </c>
      <c r="O115" s="1682" t="str">
        <f t="shared" si="8"/>
        <v/>
      </c>
      <c r="P115" s="1512"/>
      <c r="Q115" s="1513" t="str">
        <f t="shared" si="9"/>
        <v/>
      </c>
      <c r="R115" s="1683" t="str">
        <f t="shared" si="10"/>
        <v/>
      </c>
      <c r="S115" s="1512"/>
      <c r="T115" s="1513" t="str">
        <f t="shared" si="11"/>
        <v/>
      </c>
      <c r="U115" s="1512"/>
      <c r="V115" s="1512"/>
      <c r="W115" s="1638"/>
      <c r="X115" s="955"/>
      <c r="Y115" s="955"/>
      <c r="Z115" s="955"/>
      <c r="AA115" s="955"/>
      <c r="AB115" s="955"/>
      <c r="AC115" s="955"/>
      <c r="AD115" s="955"/>
      <c r="AE115" s="955"/>
      <c r="AF115" s="955"/>
      <c r="AG115" s="955"/>
      <c r="AH115" s="955"/>
      <c r="AI115" s="955"/>
      <c r="AJ115" s="955"/>
      <c r="AK115" s="955"/>
      <c r="AL115" s="955"/>
      <c r="AM115" s="955"/>
      <c r="AN115" s="955"/>
      <c r="AO115" s="955"/>
      <c r="AP115" s="955"/>
      <c r="AQ115" s="955"/>
      <c r="AR115" s="955"/>
      <c r="AS115" s="955"/>
    </row>
    <row r="116" spans="2:45" s="1514" customFormat="1" x14ac:dyDescent="0.2">
      <c r="B116" s="1640"/>
      <c r="C116" s="1517"/>
      <c r="D116" s="1516"/>
      <c r="E116" s="1518"/>
      <c r="F116" s="1510"/>
      <c r="G116" s="1510"/>
      <c r="H116" s="1510"/>
      <c r="I116" s="1512"/>
      <c r="J116" s="1512"/>
      <c r="K116" s="1635" t="str">
        <f t="shared" si="6"/>
        <v/>
      </c>
      <c r="L116" s="1633"/>
      <c r="M116" s="1512"/>
      <c r="N116" s="1513" t="str">
        <f t="shared" si="7"/>
        <v/>
      </c>
      <c r="O116" s="1682" t="str">
        <f t="shared" si="8"/>
        <v/>
      </c>
      <c r="P116" s="1512"/>
      <c r="Q116" s="1513" t="str">
        <f t="shared" si="9"/>
        <v/>
      </c>
      <c r="R116" s="1683" t="str">
        <f t="shared" si="10"/>
        <v/>
      </c>
      <c r="S116" s="1512"/>
      <c r="T116" s="1513" t="str">
        <f t="shared" si="11"/>
        <v/>
      </c>
      <c r="U116" s="1512"/>
      <c r="V116" s="1512"/>
      <c r="W116" s="1638"/>
      <c r="X116" s="955"/>
      <c r="Y116" s="955"/>
      <c r="Z116" s="955"/>
      <c r="AA116" s="955"/>
      <c r="AB116" s="955"/>
      <c r="AC116" s="955"/>
      <c r="AD116" s="955"/>
      <c r="AE116" s="955"/>
      <c r="AF116" s="955"/>
      <c r="AG116" s="955"/>
      <c r="AH116" s="955"/>
      <c r="AI116" s="955"/>
      <c r="AJ116" s="955"/>
      <c r="AK116" s="955"/>
      <c r="AL116" s="955"/>
      <c r="AM116" s="955"/>
      <c r="AN116" s="955"/>
      <c r="AO116" s="955"/>
      <c r="AP116" s="955"/>
      <c r="AQ116" s="955"/>
      <c r="AR116" s="955"/>
      <c r="AS116" s="955"/>
    </row>
    <row r="117" spans="2:45" s="1514" customFormat="1" x14ac:dyDescent="0.2">
      <c r="B117" s="1640"/>
      <c r="C117" s="1517"/>
      <c r="D117" s="1516"/>
      <c r="E117" s="1518"/>
      <c r="F117" s="1510"/>
      <c r="G117" s="1510"/>
      <c r="H117" s="1510"/>
      <c r="I117" s="1512"/>
      <c r="J117" s="1512"/>
      <c r="K117" s="1635" t="str">
        <f t="shared" si="6"/>
        <v/>
      </c>
      <c r="L117" s="1633"/>
      <c r="M117" s="1512"/>
      <c r="N117" s="1513" t="str">
        <f t="shared" si="7"/>
        <v/>
      </c>
      <c r="O117" s="1682" t="str">
        <f t="shared" si="8"/>
        <v/>
      </c>
      <c r="P117" s="1512"/>
      <c r="Q117" s="1513" t="str">
        <f t="shared" si="9"/>
        <v/>
      </c>
      <c r="R117" s="1683" t="str">
        <f t="shared" si="10"/>
        <v/>
      </c>
      <c r="S117" s="1512"/>
      <c r="T117" s="1513" t="str">
        <f t="shared" si="11"/>
        <v/>
      </c>
      <c r="U117" s="1512"/>
      <c r="V117" s="1512"/>
      <c r="W117" s="1638"/>
      <c r="X117" s="955"/>
      <c r="Y117" s="955"/>
      <c r="Z117" s="955"/>
      <c r="AA117" s="955"/>
      <c r="AB117" s="955"/>
      <c r="AC117" s="955"/>
      <c r="AD117" s="955"/>
      <c r="AE117" s="955"/>
      <c r="AF117" s="955"/>
      <c r="AG117" s="955"/>
      <c r="AH117" s="955"/>
      <c r="AI117" s="955"/>
      <c r="AJ117" s="955"/>
      <c r="AK117" s="955"/>
      <c r="AL117" s="955"/>
      <c r="AM117" s="955"/>
      <c r="AN117" s="955"/>
      <c r="AO117" s="955"/>
      <c r="AP117" s="955"/>
      <c r="AQ117" s="955"/>
      <c r="AR117" s="955"/>
      <c r="AS117" s="955"/>
    </row>
    <row r="118" spans="2:45" s="1514" customFormat="1" x14ac:dyDescent="0.2">
      <c r="B118" s="1640"/>
      <c r="C118" s="1517"/>
      <c r="D118" s="1516"/>
      <c r="E118" s="1518"/>
      <c r="F118" s="1510"/>
      <c r="G118" s="1510"/>
      <c r="H118" s="1510"/>
      <c r="I118" s="1512"/>
      <c r="J118" s="1512"/>
      <c r="K118" s="1635" t="str">
        <f t="shared" si="6"/>
        <v/>
      </c>
      <c r="L118" s="1633"/>
      <c r="M118" s="1512"/>
      <c r="N118" s="1513" t="str">
        <f t="shared" si="7"/>
        <v/>
      </c>
      <c r="O118" s="1682" t="str">
        <f t="shared" si="8"/>
        <v/>
      </c>
      <c r="P118" s="1512"/>
      <c r="Q118" s="1513" t="str">
        <f t="shared" si="9"/>
        <v/>
      </c>
      <c r="R118" s="1683" t="str">
        <f t="shared" si="10"/>
        <v/>
      </c>
      <c r="S118" s="1512"/>
      <c r="T118" s="1513" t="str">
        <f t="shared" si="11"/>
        <v/>
      </c>
      <c r="U118" s="1512"/>
      <c r="V118" s="1512"/>
      <c r="W118" s="1638"/>
      <c r="X118" s="955"/>
      <c r="Y118" s="955"/>
      <c r="Z118" s="955"/>
      <c r="AA118" s="955"/>
      <c r="AB118" s="955"/>
      <c r="AC118" s="955"/>
      <c r="AD118" s="955"/>
      <c r="AE118" s="955"/>
      <c r="AF118" s="955"/>
      <c r="AG118" s="955"/>
      <c r="AH118" s="955"/>
      <c r="AI118" s="955"/>
      <c r="AJ118" s="955"/>
      <c r="AK118" s="955"/>
      <c r="AL118" s="955"/>
      <c r="AM118" s="955"/>
      <c r="AN118" s="955"/>
      <c r="AO118" s="955"/>
      <c r="AP118" s="955"/>
      <c r="AQ118" s="955"/>
      <c r="AR118" s="955"/>
      <c r="AS118" s="955"/>
    </row>
    <row r="119" spans="2:45" s="1514" customFormat="1" x14ac:dyDescent="0.2">
      <c r="B119" s="1640"/>
      <c r="C119" s="1517"/>
      <c r="D119" s="1516"/>
      <c r="E119" s="1518"/>
      <c r="F119" s="1510"/>
      <c r="G119" s="1510"/>
      <c r="H119" s="1510"/>
      <c r="I119" s="1512"/>
      <c r="J119" s="1512"/>
      <c r="K119" s="1635" t="str">
        <f t="shared" si="6"/>
        <v/>
      </c>
      <c r="L119" s="1633"/>
      <c r="M119" s="1512"/>
      <c r="N119" s="1513" t="str">
        <f t="shared" si="7"/>
        <v/>
      </c>
      <c r="O119" s="1682" t="str">
        <f t="shared" si="8"/>
        <v/>
      </c>
      <c r="P119" s="1512"/>
      <c r="Q119" s="1513" t="str">
        <f t="shared" si="9"/>
        <v/>
      </c>
      <c r="R119" s="1683" t="str">
        <f t="shared" si="10"/>
        <v/>
      </c>
      <c r="S119" s="1512"/>
      <c r="T119" s="1513" t="str">
        <f t="shared" si="11"/>
        <v/>
      </c>
      <c r="U119" s="1512"/>
      <c r="V119" s="1512"/>
      <c r="W119" s="1638"/>
      <c r="X119" s="955"/>
      <c r="Y119" s="955"/>
      <c r="Z119" s="955"/>
      <c r="AA119" s="955"/>
      <c r="AB119" s="955"/>
      <c r="AC119" s="955"/>
      <c r="AD119" s="955"/>
      <c r="AE119" s="955"/>
      <c r="AF119" s="955"/>
      <c r="AG119" s="955"/>
      <c r="AH119" s="955"/>
      <c r="AI119" s="955"/>
      <c r="AJ119" s="955"/>
      <c r="AK119" s="955"/>
      <c r="AL119" s="955"/>
      <c r="AM119" s="955"/>
      <c r="AN119" s="955"/>
      <c r="AO119" s="955"/>
      <c r="AP119" s="955"/>
      <c r="AQ119" s="955"/>
      <c r="AR119" s="955"/>
      <c r="AS119" s="955"/>
    </row>
    <row r="120" spans="2:45" s="1514" customFormat="1" x14ac:dyDescent="0.2">
      <c r="B120" s="1640"/>
      <c r="C120" s="1517"/>
      <c r="D120" s="1516"/>
      <c r="E120" s="1518"/>
      <c r="F120" s="1510"/>
      <c r="G120" s="1510"/>
      <c r="H120" s="1510"/>
      <c r="I120" s="1512"/>
      <c r="J120" s="1512"/>
      <c r="K120" s="1635" t="str">
        <f t="shared" si="6"/>
        <v/>
      </c>
      <c r="L120" s="1633"/>
      <c r="M120" s="1512"/>
      <c r="N120" s="1513" t="str">
        <f t="shared" si="7"/>
        <v/>
      </c>
      <c r="O120" s="1682" t="str">
        <f t="shared" si="8"/>
        <v/>
      </c>
      <c r="P120" s="1512"/>
      <c r="Q120" s="1513" t="str">
        <f t="shared" si="9"/>
        <v/>
      </c>
      <c r="R120" s="1683" t="str">
        <f t="shared" si="10"/>
        <v/>
      </c>
      <c r="S120" s="1512"/>
      <c r="T120" s="1513" t="str">
        <f t="shared" si="11"/>
        <v/>
      </c>
      <c r="U120" s="1512"/>
      <c r="V120" s="1512"/>
      <c r="W120" s="1638"/>
      <c r="X120" s="955"/>
      <c r="Y120" s="955"/>
      <c r="Z120" s="955"/>
      <c r="AA120" s="955"/>
      <c r="AB120" s="955"/>
      <c r="AC120" s="955"/>
      <c r="AD120" s="955"/>
      <c r="AE120" s="955"/>
      <c r="AF120" s="955"/>
      <c r="AG120" s="955"/>
      <c r="AH120" s="955"/>
      <c r="AI120" s="955"/>
      <c r="AJ120" s="955"/>
      <c r="AK120" s="955"/>
      <c r="AL120" s="955"/>
      <c r="AM120" s="955"/>
      <c r="AN120" s="955"/>
      <c r="AO120" s="955"/>
      <c r="AP120" s="955"/>
      <c r="AQ120" s="955"/>
      <c r="AR120" s="955"/>
      <c r="AS120" s="955"/>
    </row>
    <row r="121" spans="2:45" s="1514" customFormat="1" x14ac:dyDescent="0.2">
      <c r="B121" s="1640"/>
      <c r="C121" s="1517"/>
      <c r="D121" s="1516"/>
      <c r="E121" s="1518"/>
      <c r="F121" s="1510"/>
      <c r="G121" s="1510"/>
      <c r="H121" s="1510"/>
      <c r="I121" s="1512"/>
      <c r="J121" s="1512"/>
      <c r="K121" s="1635" t="str">
        <f t="shared" si="6"/>
        <v/>
      </c>
      <c r="L121" s="1633"/>
      <c r="M121" s="1512"/>
      <c r="N121" s="1513" t="str">
        <f t="shared" si="7"/>
        <v/>
      </c>
      <c r="O121" s="1682" t="str">
        <f t="shared" si="8"/>
        <v/>
      </c>
      <c r="P121" s="1512"/>
      <c r="Q121" s="1513" t="str">
        <f t="shared" si="9"/>
        <v/>
      </c>
      <c r="R121" s="1683" t="str">
        <f t="shared" si="10"/>
        <v/>
      </c>
      <c r="S121" s="1512"/>
      <c r="T121" s="1513" t="str">
        <f t="shared" si="11"/>
        <v/>
      </c>
      <c r="U121" s="1512"/>
      <c r="V121" s="1512"/>
      <c r="W121" s="1638"/>
      <c r="X121" s="955"/>
      <c r="Y121" s="955"/>
      <c r="Z121" s="955"/>
      <c r="AA121" s="955"/>
      <c r="AB121" s="955"/>
      <c r="AC121" s="955"/>
      <c r="AD121" s="955"/>
      <c r="AE121" s="955"/>
      <c r="AF121" s="955"/>
      <c r="AG121" s="955"/>
      <c r="AH121" s="955"/>
      <c r="AI121" s="955"/>
      <c r="AJ121" s="955"/>
      <c r="AK121" s="955"/>
      <c r="AL121" s="955"/>
      <c r="AM121" s="955"/>
      <c r="AN121" s="955"/>
      <c r="AO121" s="955"/>
      <c r="AP121" s="955"/>
      <c r="AQ121" s="955"/>
      <c r="AR121" s="955"/>
      <c r="AS121" s="955"/>
    </row>
    <row r="122" spans="2:45" s="1514" customFormat="1" x14ac:dyDescent="0.2">
      <c r="B122" s="1640"/>
      <c r="C122" s="1517"/>
      <c r="D122" s="1516"/>
      <c r="E122" s="1518"/>
      <c r="F122" s="1510"/>
      <c r="G122" s="1510"/>
      <c r="H122" s="1510"/>
      <c r="I122" s="1512"/>
      <c r="J122" s="1512"/>
      <c r="K122" s="1635" t="str">
        <f t="shared" si="6"/>
        <v/>
      </c>
      <c r="L122" s="1633"/>
      <c r="M122" s="1512"/>
      <c r="N122" s="1513" t="str">
        <f t="shared" si="7"/>
        <v/>
      </c>
      <c r="O122" s="1682" t="str">
        <f t="shared" si="8"/>
        <v/>
      </c>
      <c r="P122" s="1512"/>
      <c r="Q122" s="1513" t="str">
        <f t="shared" si="9"/>
        <v/>
      </c>
      <c r="R122" s="1683" t="str">
        <f t="shared" si="10"/>
        <v/>
      </c>
      <c r="S122" s="1512"/>
      <c r="T122" s="1513" t="str">
        <f t="shared" si="11"/>
        <v/>
      </c>
      <c r="U122" s="1512"/>
      <c r="V122" s="1512"/>
      <c r="W122" s="1638"/>
      <c r="X122" s="955"/>
      <c r="Y122" s="955"/>
      <c r="Z122" s="955"/>
      <c r="AA122" s="955"/>
      <c r="AB122" s="955"/>
      <c r="AC122" s="955"/>
      <c r="AD122" s="955"/>
      <c r="AE122" s="955"/>
      <c r="AF122" s="955"/>
      <c r="AG122" s="955"/>
      <c r="AH122" s="955"/>
      <c r="AI122" s="955"/>
      <c r="AJ122" s="955"/>
      <c r="AK122" s="955"/>
      <c r="AL122" s="955"/>
      <c r="AM122" s="955"/>
      <c r="AN122" s="955"/>
      <c r="AO122" s="955"/>
      <c r="AP122" s="955"/>
      <c r="AQ122" s="955"/>
      <c r="AR122" s="955"/>
      <c r="AS122" s="955"/>
    </row>
    <row r="123" spans="2:45" s="1514" customFormat="1" x14ac:dyDescent="0.2">
      <c r="B123" s="1640"/>
      <c r="C123" s="1517"/>
      <c r="D123" s="1516"/>
      <c r="E123" s="1518"/>
      <c r="F123" s="1510"/>
      <c r="G123" s="1510"/>
      <c r="H123" s="1510"/>
      <c r="I123" s="1512"/>
      <c r="J123" s="1512"/>
      <c r="K123" s="1635" t="str">
        <f t="shared" si="6"/>
        <v/>
      </c>
      <c r="L123" s="1633"/>
      <c r="M123" s="1512"/>
      <c r="N123" s="1513" t="str">
        <f t="shared" si="7"/>
        <v/>
      </c>
      <c r="O123" s="1682" t="str">
        <f t="shared" si="8"/>
        <v/>
      </c>
      <c r="P123" s="1512"/>
      <c r="Q123" s="1513" t="str">
        <f t="shared" si="9"/>
        <v/>
      </c>
      <c r="R123" s="1683" t="str">
        <f t="shared" si="10"/>
        <v/>
      </c>
      <c r="S123" s="1512"/>
      <c r="T123" s="1513" t="str">
        <f t="shared" si="11"/>
        <v/>
      </c>
      <c r="U123" s="1512"/>
      <c r="V123" s="1512"/>
      <c r="W123" s="1638"/>
      <c r="X123" s="955"/>
      <c r="Y123" s="955"/>
      <c r="Z123" s="955"/>
      <c r="AA123" s="955"/>
      <c r="AB123" s="955"/>
      <c r="AC123" s="955"/>
      <c r="AD123" s="955"/>
      <c r="AE123" s="955"/>
      <c r="AF123" s="955"/>
      <c r="AG123" s="955"/>
      <c r="AH123" s="955"/>
      <c r="AI123" s="955"/>
      <c r="AJ123" s="955"/>
      <c r="AK123" s="955"/>
      <c r="AL123" s="955"/>
      <c r="AM123" s="955"/>
      <c r="AN123" s="955"/>
      <c r="AO123" s="955"/>
      <c r="AP123" s="955"/>
      <c r="AQ123" s="955"/>
      <c r="AR123" s="955"/>
      <c r="AS123" s="955"/>
    </row>
    <row r="124" spans="2:45" s="1514" customFormat="1" x14ac:dyDescent="0.2">
      <c r="B124" s="1640"/>
      <c r="C124" s="1517"/>
      <c r="D124" s="1516"/>
      <c r="E124" s="1518"/>
      <c r="F124" s="1510"/>
      <c r="G124" s="1510"/>
      <c r="H124" s="1510"/>
      <c r="I124" s="1512"/>
      <c r="J124" s="1512"/>
      <c r="K124" s="1635" t="str">
        <f t="shared" si="6"/>
        <v/>
      </c>
      <c r="L124" s="1633"/>
      <c r="M124" s="1512"/>
      <c r="N124" s="1513" t="str">
        <f t="shared" si="7"/>
        <v/>
      </c>
      <c r="O124" s="1682" t="str">
        <f t="shared" si="8"/>
        <v/>
      </c>
      <c r="P124" s="1512"/>
      <c r="Q124" s="1513" t="str">
        <f t="shared" si="9"/>
        <v/>
      </c>
      <c r="R124" s="1683" t="str">
        <f t="shared" si="10"/>
        <v/>
      </c>
      <c r="S124" s="1512"/>
      <c r="T124" s="1513" t="str">
        <f t="shared" si="11"/>
        <v/>
      </c>
      <c r="U124" s="1512"/>
      <c r="V124" s="1512"/>
      <c r="W124" s="1638"/>
      <c r="X124" s="955"/>
      <c r="Y124" s="955"/>
      <c r="Z124" s="955"/>
      <c r="AA124" s="955"/>
      <c r="AB124" s="955"/>
      <c r="AC124" s="955"/>
      <c r="AD124" s="955"/>
      <c r="AE124" s="955"/>
      <c r="AF124" s="955"/>
      <c r="AG124" s="955"/>
      <c r="AH124" s="955"/>
      <c r="AI124" s="955"/>
      <c r="AJ124" s="955"/>
      <c r="AK124" s="955"/>
      <c r="AL124" s="955"/>
      <c r="AM124" s="955"/>
      <c r="AN124" s="955"/>
      <c r="AO124" s="955"/>
      <c r="AP124" s="955"/>
      <c r="AQ124" s="955"/>
      <c r="AR124" s="955"/>
      <c r="AS124" s="955"/>
    </row>
    <row r="125" spans="2:45" s="1514" customFormat="1" x14ac:dyDescent="0.2">
      <c r="B125" s="1640"/>
      <c r="C125" s="1517"/>
      <c r="D125" s="1516"/>
      <c r="E125" s="1518"/>
      <c r="F125" s="1510"/>
      <c r="G125" s="1510"/>
      <c r="H125" s="1510"/>
      <c r="I125" s="1512"/>
      <c r="J125" s="1512"/>
      <c r="K125" s="1635" t="str">
        <f t="shared" si="6"/>
        <v/>
      </c>
      <c r="L125" s="1633"/>
      <c r="M125" s="1512"/>
      <c r="N125" s="1513" t="str">
        <f t="shared" si="7"/>
        <v/>
      </c>
      <c r="O125" s="1682" t="str">
        <f t="shared" si="8"/>
        <v/>
      </c>
      <c r="P125" s="1512"/>
      <c r="Q125" s="1513" t="str">
        <f t="shared" si="9"/>
        <v/>
      </c>
      <c r="R125" s="1683" t="str">
        <f t="shared" si="10"/>
        <v/>
      </c>
      <c r="S125" s="1512"/>
      <c r="T125" s="1513" t="str">
        <f t="shared" si="11"/>
        <v/>
      </c>
      <c r="U125" s="1512"/>
      <c r="V125" s="1512"/>
      <c r="W125" s="1638"/>
      <c r="X125" s="955"/>
      <c r="Y125" s="955"/>
      <c r="Z125" s="955"/>
      <c r="AA125" s="955"/>
      <c r="AB125" s="955"/>
      <c r="AC125" s="955"/>
      <c r="AD125" s="955"/>
      <c r="AE125" s="955"/>
      <c r="AF125" s="955"/>
      <c r="AG125" s="955"/>
      <c r="AH125" s="955"/>
      <c r="AI125" s="955"/>
      <c r="AJ125" s="955"/>
      <c r="AK125" s="955"/>
      <c r="AL125" s="955"/>
      <c r="AM125" s="955"/>
      <c r="AN125" s="955"/>
      <c r="AO125" s="955"/>
      <c r="AP125" s="955"/>
      <c r="AQ125" s="955"/>
      <c r="AR125" s="955"/>
      <c r="AS125" s="955"/>
    </row>
    <row r="126" spans="2:45" s="1514" customFormat="1" x14ac:dyDescent="0.2">
      <c r="B126" s="1640"/>
      <c r="C126" s="1517"/>
      <c r="D126" s="1516"/>
      <c r="E126" s="1518"/>
      <c r="F126" s="1510"/>
      <c r="G126" s="1510"/>
      <c r="H126" s="1510"/>
      <c r="I126" s="1512"/>
      <c r="J126" s="1512"/>
      <c r="K126" s="1635" t="str">
        <f t="shared" si="6"/>
        <v/>
      </c>
      <c r="L126" s="1633"/>
      <c r="M126" s="1512"/>
      <c r="N126" s="1513" t="str">
        <f t="shared" si="7"/>
        <v/>
      </c>
      <c r="O126" s="1682" t="str">
        <f t="shared" si="8"/>
        <v/>
      </c>
      <c r="P126" s="1512"/>
      <c r="Q126" s="1513" t="str">
        <f t="shared" si="9"/>
        <v/>
      </c>
      <c r="R126" s="1683" t="str">
        <f t="shared" si="10"/>
        <v/>
      </c>
      <c r="S126" s="1512"/>
      <c r="T126" s="1513" t="str">
        <f t="shared" si="11"/>
        <v/>
      </c>
      <c r="U126" s="1512"/>
      <c r="V126" s="1512"/>
      <c r="W126" s="1638"/>
      <c r="X126" s="955"/>
      <c r="Y126" s="955"/>
      <c r="Z126" s="955"/>
      <c r="AA126" s="955"/>
      <c r="AB126" s="955"/>
      <c r="AC126" s="955"/>
      <c r="AD126" s="955"/>
      <c r="AE126" s="955"/>
      <c r="AF126" s="955"/>
      <c r="AG126" s="955"/>
      <c r="AH126" s="955"/>
      <c r="AI126" s="955"/>
      <c r="AJ126" s="955"/>
      <c r="AK126" s="955"/>
      <c r="AL126" s="955"/>
      <c r="AM126" s="955"/>
      <c r="AN126" s="955"/>
      <c r="AO126" s="955"/>
      <c r="AP126" s="955"/>
      <c r="AQ126" s="955"/>
      <c r="AR126" s="955"/>
      <c r="AS126" s="955"/>
    </row>
    <row r="127" spans="2:45" s="1514" customFormat="1" x14ac:dyDescent="0.2">
      <c r="B127" s="1640"/>
      <c r="C127" s="1517"/>
      <c r="D127" s="1516"/>
      <c r="E127" s="1518"/>
      <c r="F127" s="1510"/>
      <c r="G127" s="1510"/>
      <c r="H127" s="1510"/>
      <c r="I127" s="1512"/>
      <c r="J127" s="1512"/>
      <c r="K127" s="1635" t="str">
        <f t="shared" si="6"/>
        <v/>
      </c>
      <c r="L127" s="1633"/>
      <c r="M127" s="1512"/>
      <c r="N127" s="1513" t="str">
        <f t="shared" si="7"/>
        <v/>
      </c>
      <c r="O127" s="1682" t="str">
        <f t="shared" si="8"/>
        <v/>
      </c>
      <c r="P127" s="1512"/>
      <c r="Q127" s="1513" t="str">
        <f t="shared" si="9"/>
        <v/>
      </c>
      <c r="R127" s="1683" t="str">
        <f t="shared" si="10"/>
        <v/>
      </c>
      <c r="S127" s="1512"/>
      <c r="T127" s="1513" t="str">
        <f t="shared" si="11"/>
        <v/>
      </c>
      <c r="U127" s="1512"/>
      <c r="V127" s="1512"/>
      <c r="W127" s="1638"/>
      <c r="X127" s="955"/>
      <c r="Y127" s="955"/>
      <c r="Z127" s="955"/>
      <c r="AA127" s="955"/>
      <c r="AB127" s="955"/>
      <c r="AC127" s="955"/>
      <c r="AD127" s="955"/>
      <c r="AE127" s="955"/>
      <c r="AF127" s="955"/>
      <c r="AG127" s="955"/>
      <c r="AH127" s="955"/>
      <c r="AI127" s="955"/>
      <c r="AJ127" s="955"/>
      <c r="AK127" s="955"/>
      <c r="AL127" s="955"/>
      <c r="AM127" s="955"/>
      <c r="AN127" s="955"/>
      <c r="AO127" s="955"/>
      <c r="AP127" s="955"/>
      <c r="AQ127" s="955"/>
      <c r="AR127" s="955"/>
      <c r="AS127" s="955"/>
    </row>
    <row r="128" spans="2:45" s="1514" customFormat="1" x14ac:dyDescent="0.2">
      <c r="B128" s="1640"/>
      <c r="C128" s="1517"/>
      <c r="D128" s="1516"/>
      <c r="E128" s="1518"/>
      <c r="F128" s="1510"/>
      <c r="G128" s="1510"/>
      <c r="H128" s="1510"/>
      <c r="I128" s="1512"/>
      <c r="J128" s="1512"/>
      <c r="K128" s="1635" t="str">
        <f t="shared" si="6"/>
        <v/>
      </c>
      <c r="L128" s="1633"/>
      <c r="M128" s="1512"/>
      <c r="N128" s="1513" t="str">
        <f t="shared" si="7"/>
        <v/>
      </c>
      <c r="O128" s="1682" t="str">
        <f t="shared" si="8"/>
        <v/>
      </c>
      <c r="P128" s="1512"/>
      <c r="Q128" s="1513" t="str">
        <f t="shared" si="9"/>
        <v/>
      </c>
      <c r="R128" s="1683" t="str">
        <f t="shared" si="10"/>
        <v/>
      </c>
      <c r="S128" s="1512"/>
      <c r="T128" s="1513" t="str">
        <f t="shared" si="11"/>
        <v/>
      </c>
      <c r="U128" s="1512"/>
      <c r="V128" s="1512"/>
      <c r="W128" s="1638"/>
      <c r="X128" s="955"/>
      <c r="Y128" s="955"/>
      <c r="Z128" s="955"/>
      <c r="AA128" s="955"/>
      <c r="AB128" s="955"/>
      <c r="AC128" s="955"/>
      <c r="AD128" s="955"/>
      <c r="AE128" s="955"/>
      <c r="AF128" s="955"/>
      <c r="AG128" s="955"/>
      <c r="AH128" s="955"/>
      <c r="AI128" s="955"/>
      <c r="AJ128" s="955"/>
      <c r="AK128" s="955"/>
      <c r="AL128" s="955"/>
      <c r="AM128" s="955"/>
      <c r="AN128" s="955"/>
      <c r="AO128" s="955"/>
      <c r="AP128" s="955"/>
      <c r="AQ128" s="955"/>
      <c r="AR128" s="955"/>
      <c r="AS128" s="955"/>
    </row>
    <row r="129" spans="2:45" s="1514" customFormat="1" x14ac:dyDescent="0.2">
      <c r="B129" s="1640"/>
      <c r="C129" s="1517"/>
      <c r="D129" s="1516"/>
      <c r="E129" s="1518"/>
      <c r="F129" s="1510"/>
      <c r="G129" s="1510"/>
      <c r="H129" s="1510"/>
      <c r="I129" s="1512"/>
      <c r="J129" s="1512"/>
      <c r="K129" s="1635" t="str">
        <f t="shared" si="6"/>
        <v/>
      </c>
      <c r="L129" s="1633"/>
      <c r="M129" s="1512"/>
      <c r="N129" s="1513" t="str">
        <f t="shared" si="7"/>
        <v/>
      </c>
      <c r="O129" s="1682" t="str">
        <f t="shared" si="8"/>
        <v/>
      </c>
      <c r="P129" s="1512"/>
      <c r="Q129" s="1513" t="str">
        <f t="shared" si="9"/>
        <v/>
      </c>
      <c r="R129" s="1683" t="str">
        <f t="shared" si="10"/>
        <v/>
      </c>
      <c r="S129" s="1512"/>
      <c r="T129" s="1513" t="str">
        <f t="shared" si="11"/>
        <v/>
      </c>
      <c r="U129" s="1512"/>
      <c r="V129" s="1512"/>
      <c r="W129" s="1638"/>
      <c r="X129" s="955"/>
      <c r="Y129" s="955"/>
      <c r="Z129" s="955"/>
      <c r="AA129" s="955"/>
      <c r="AB129" s="955"/>
      <c r="AC129" s="955"/>
      <c r="AD129" s="955"/>
      <c r="AE129" s="955"/>
      <c r="AF129" s="955"/>
      <c r="AG129" s="955"/>
      <c r="AH129" s="955"/>
      <c r="AI129" s="955"/>
      <c r="AJ129" s="955"/>
      <c r="AK129" s="955"/>
      <c r="AL129" s="955"/>
      <c r="AM129" s="955"/>
      <c r="AN129" s="955"/>
      <c r="AO129" s="955"/>
      <c r="AP129" s="955"/>
      <c r="AQ129" s="955"/>
      <c r="AR129" s="955"/>
      <c r="AS129" s="955"/>
    </row>
    <row r="130" spans="2:45" s="1514" customFormat="1" x14ac:dyDescent="0.2">
      <c r="B130" s="1640"/>
      <c r="C130" s="1517"/>
      <c r="D130" s="1516"/>
      <c r="E130" s="1518"/>
      <c r="F130" s="1510"/>
      <c r="G130" s="1510"/>
      <c r="H130" s="1510"/>
      <c r="I130" s="1512"/>
      <c r="J130" s="1512"/>
      <c r="K130" s="1635" t="str">
        <f t="shared" si="6"/>
        <v/>
      </c>
      <c r="L130" s="1633"/>
      <c r="M130" s="1512"/>
      <c r="N130" s="1513" t="str">
        <f t="shared" si="7"/>
        <v/>
      </c>
      <c r="O130" s="1682" t="str">
        <f t="shared" si="8"/>
        <v/>
      </c>
      <c r="P130" s="1512"/>
      <c r="Q130" s="1513" t="str">
        <f t="shared" si="9"/>
        <v/>
      </c>
      <c r="R130" s="1683" t="str">
        <f t="shared" si="10"/>
        <v/>
      </c>
      <c r="S130" s="1512"/>
      <c r="T130" s="1513" t="str">
        <f t="shared" si="11"/>
        <v/>
      </c>
      <c r="U130" s="1512"/>
      <c r="V130" s="1512"/>
      <c r="W130" s="1638"/>
      <c r="X130" s="955"/>
      <c r="Y130" s="955"/>
      <c r="Z130" s="955"/>
      <c r="AA130" s="955"/>
      <c r="AB130" s="955"/>
      <c r="AC130" s="955"/>
      <c r="AD130" s="955"/>
      <c r="AE130" s="955"/>
      <c r="AF130" s="955"/>
      <c r="AG130" s="955"/>
      <c r="AH130" s="955"/>
      <c r="AI130" s="955"/>
      <c r="AJ130" s="955"/>
      <c r="AK130" s="955"/>
      <c r="AL130" s="955"/>
      <c r="AM130" s="955"/>
      <c r="AN130" s="955"/>
      <c r="AO130" s="955"/>
      <c r="AP130" s="955"/>
      <c r="AQ130" s="955"/>
      <c r="AR130" s="955"/>
      <c r="AS130" s="955"/>
    </row>
    <row r="131" spans="2:45" s="1514" customFormat="1" x14ac:dyDescent="0.2">
      <c r="B131" s="1640"/>
      <c r="C131" s="1517"/>
      <c r="D131" s="1516"/>
      <c r="E131" s="1518"/>
      <c r="F131" s="1510"/>
      <c r="G131" s="1510"/>
      <c r="H131" s="1510"/>
      <c r="I131" s="1512"/>
      <c r="J131" s="1512"/>
      <c r="K131" s="1635" t="str">
        <f t="shared" si="6"/>
        <v/>
      </c>
      <c r="L131" s="1633"/>
      <c r="M131" s="1512"/>
      <c r="N131" s="1513" t="str">
        <f t="shared" si="7"/>
        <v/>
      </c>
      <c r="O131" s="1682" t="str">
        <f t="shared" si="8"/>
        <v/>
      </c>
      <c r="P131" s="1512"/>
      <c r="Q131" s="1513" t="str">
        <f t="shared" si="9"/>
        <v/>
      </c>
      <c r="R131" s="1683" t="str">
        <f t="shared" si="10"/>
        <v/>
      </c>
      <c r="S131" s="1512"/>
      <c r="T131" s="1513" t="str">
        <f t="shared" si="11"/>
        <v/>
      </c>
      <c r="U131" s="1512"/>
      <c r="V131" s="1512"/>
      <c r="W131" s="1638"/>
      <c r="X131" s="955"/>
      <c r="Y131" s="955"/>
      <c r="Z131" s="955"/>
      <c r="AA131" s="955"/>
      <c r="AB131" s="955"/>
      <c r="AC131" s="955"/>
      <c r="AD131" s="955"/>
      <c r="AE131" s="955"/>
      <c r="AF131" s="955"/>
      <c r="AG131" s="955"/>
      <c r="AH131" s="955"/>
      <c r="AI131" s="955"/>
      <c r="AJ131" s="955"/>
      <c r="AK131" s="955"/>
      <c r="AL131" s="955"/>
      <c r="AM131" s="955"/>
      <c r="AN131" s="955"/>
      <c r="AO131" s="955"/>
      <c r="AP131" s="955"/>
      <c r="AQ131" s="955"/>
      <c r="AR131" s="955"/>
      <c r="AS131" s="955"/>
    </row>
    <row r="132" spans="2:45" s="1514" customFormat="1" x14ac:dyDescent="0.2">
      <c r="B132" s="1640"/>
      <c r="C132" s="1517"/>
      <c r="D132" s="1516"/>
      <c r="E132" s="1518"/>
      <c r="F132" s="1510"/>
      <c r="G132" s="1510"/>
      <c r="H132" s="1510"/>
      <c r="I132" s="1512"/>
      <c r="J132" s="1512"/>
      <c r="K132" s="1635" t="str">
        <f t="shared" si="6"/>
        <v/>
      </c>
      <c r="L132" s="1633"/>
      <c r="M132" s="1512"/>
      <c r="N132" s="1513" t="str">
        <f t="shared" si="7"/>
        <v/>
      </c>
      <c r="O132" s="1682" t="str">
        <f t="shared" si="8"/>
        <v/>
      </c>
      <c r="P132" s="1512"/>
      <c r="Q132" s="1513" t="str">
        <f t="shared" si="9"/>
        <v/>
      </c>
      <c r="R132" s="1683" t="str">
        <f t="shared" si="10"/>
        <v/>
      </c>
      <c r="S132" s="1512"/>
      <c r="T132" s="1513" t="str">
        <f t="shared" si="11"/>
        <v/>
      </c>
      <c r="U132" s="1512"/>
      <c r="V132" s="1512"/>
      <c r="W132" s="1638"/>
      <c r="X132" s="955"/>
      <c r="Y132" s="955"/>
      <c r="Z132" s="955"/>
      <c r="AA132" s="955"/>
      <c r="AB132" s="955"/>
      <c r="AC132" s="955"/>
      <c r="AD132" s="955"/>
      <c r="AE132" s="955"/>
      <c r="AF132" s="955"/>
      <c r="AG132" s="955"/>
      <c r="AH132" s="955"/>
      <c r="AI132" s="955"/>
      <c r="AJ132" s="955"/>
      <c r="AK132" s="955"/>
      <c r="AL132" s="955"/>
      <c r="AM132" s="955"/>
      <c r="AN132" s="955"/>
      <c r="AO132" s="955"/>
      <c r="AP132" s="955"/>
      <c r="AQ132" s="955"/>
      <c r="AR132" s="955"/>
      <c r="AS132" s="955"/>
    </row>
    <row r="133" spans="2:45" s="1514" customFormat="1" x14ac:dyDescent="0.2">
      <c r="B133" s="1640"/>
      <c r="C133" s="1517"/>
      <c r="D133" s="1516"/>
      <c r="E133" s="1518"/>
      <c r="F133" s="1510"/>
      <c r="G133" s="1510"/>
      <c r="H133" s="1510"/>
      <c r="I133" s="1512"/>
      <c r="J133" s="1512"/>
      <c r="K133" s="1635" t="str">
        <f t="shared" si="6"/>
        <v/>
      </c>
      <c r="L133" s="1633"/>
      <c r="M133" s="1512"/>
      <c r="N133" s="1513" t="str">
        <f t="shared" si="7"/>
        <v/>
      </c>
      <c r="O133" s="1682" t="str">
        <f t="shared" si="8"/>
        <v/>
      </c>
      <c r="P133" s="1512"/>
      <c r="Q133" s="1513" t="str">
        <f t="shared" si="9"/>
        <v/>
      </c>
      <c r="R133" s="1683" t="str">
        <f t="shared" si="10"/>
        <v/>
      </c>
      <c r="S133" s="1512"/>
      <c r="T133" s="1513" t="str">
        <f t="shared" si="11"/>
        <v/>
      </c>
      <c r="U133" s="1512"/>
      <c r="V133" s="1512"/>
      <c r="W133" s="1638"/>
      <c r="X133" s="955"/>
      <c r="Y133" s="955"/>
      <c r="Z133" s="955"/>
      <c r="AA133" s="955"/>
      <c r="AB133" s="955"/>
      <c r="AC133" s="955"/>
      <c r="AD133" s="955"/>
      <c r="AE133" s="955"/>
      <c r="AF133" s="955"/>
      <c r="AG133" s="955"/>
      <c r="AH133" s="955"/>
      <c r="AI133" s="955"/>
      <c r="AJ133" s="955"/>
      <c r="AK133" s="955"/>
      <c r="AL133" s="955"/>
      <c r="AM133" s="955"/>
      <c r="AN133" s="955"/>
      <c r="AO133" s="955"/>
      <c r="AP133" s="955"/>
      <c r="AQ133" s="955"/>
      <c r="AR133" s="955"/>
      <c r="AS133" s="955"/>
    </row>
    <row r="134" spans="2:45" s="1514" customFormat="1" x14ac:dyDescent="0.2">
      <c r="B134" s="1640"/>
      <c r="C134" s="1517"/>
      <c r="D134" s="1516"/>
      <c r="E134" s="1518"/>
      <c r="F134" s="1510"/>
      <c r="G134" s="1510"/>
      <c r="H134" s="1510"/>
      <c r="I134" s="1512"/>
      <c r="J134" s="1512"/>
      <c r="K134" s="1635" t="str">
        <f t="shared" si="6"/>
        <v/>
      </c>
      <c r="L134" s="1633"/>
      <c r="M134" s="1512"/>
      <c r="N134" s="1513" t="str">
        <f t="shared" si="7"/>
        <v/>
      </c>
      <c r="O134" s="1682" t="str">
        <f t="shared" si="8"/>
        <v/>
      </c>
      <c r="P134" s="1512"/>
      <c r="Q134" s="1513" t="str">
        <f t="shared" si="9"/>
        <v/>
      </c>
      <c r="R134" s="1683" t="str">
        <f t="shared" si="10"/>
        <v/>
      </c>
      <c r="S134" s="1512"/>
      <c r="T134" s="1513" t="str">
        <f t="shared" si="11"/>
        <v/>
      </c>
      <c r="U134" s="1512"/>
      <c r="V134" s="1512"/>
      <c r="W134" s="1638"/>
      <c r="X134" s="955"/>
      <c r="Y134" s="955"/>
      <c r="Z134" s="955"/>
      <c r="AA134" s="955"/>
      <c r="AB134" s="955"/>
      <c r="AC134" s="955"/>
      <c r="AD134" s="955"/>
      <c r="AE134" s="955"/>
      <c r="AF134" s="955"/>
      <c r="AG134" s="955"/>
      <c r="AH134" s="955"/>
      <c r="AI134" s="955"/>
      <c r="AJ134" s="955"/>
      <c r="AK134" s="955"/>
      <c r="AL134" s="955"/>
      <c r="AM134" s="955"/>
      <c r="AN134" s="955"/>
      <c r="AO134" s="955"/>
      <c r="AP134" s="955"/>
      <c r="AQ134" s="955"/>
      <c r="AR134" s="955"/>
      <c r="AS134" s="955"/>
    </row>
    <row r="135" spans="2:45" s="1514" customFormat="1" x14ac:dyDescent="0.2">
      <c r="B135" s="1640"/>
      <c r="C135" s="1517"/>
      <c r="D135" s="1516"/>
      <c r="E135" s="1518"/>
      <c r="F135" s="1510"/>
      <c r="G135" s="1510"/>
      <c r="H135" s="1510"/>
      <c r="I135" s="1512"/>
      <c r="J135" s="1512"/>
      <c r="K135" s="1635" t="str">
        <f t="shared" si="6"/>
        <v/>
      </c>
      <c r="L135" s="1633"/>
      <c r="M135" s="1512"/>
      <c r="N135" s="1513" t="str">
        <f t="shared" si="7"/>
        <v/>
      </c>
      <c r="O135" s="1682" t="str">
        <f t="shared" si="8"/>
        <v/>
      </c>
      <c r="P135" s="1512"/>
      <c r="Q135" s="1513" t="str">
        <f t="shared" si="9"/>
        <v/>
      </c>
      <c r="R135" s="1683" t="str">
        <f t="shared" si="10"/>
        <v/>
      </c>
      <c r="S135" s="1512"/>
      <c r="T135" s="1513" t="str">
        <f t="shared" si="11"/>
        <v/>
      </c>
      <c r="U135" s="1512"/>
      <c r="V135" s="1512"/>
      <c r="W135" s="1638"/>
      <c r="X135" s="955"/>
      <c r="Y135" s="955"/>
      <c r="Z135" s="955"/>
      <c r="AA135" s="955"/>
      <c r="AB135" s="955"/>
      <c r="AC135" s="955"/>
      <c r="AD135" s="955"/>
      <c r="AE135" s="955"/>
      <c r="AF135" s="955"/>
      <c r="AG135" s="955"/>
      <c r="AH135" s="955"/>
      <c r="AI135" s="955"/>
      <c r="AJ135" s="955"/>
      <c r="AK135" s="955"/>
      <c r="AL135" s="955"/>
      <c r="AM135" s="955"/>
      <c r="AN135" s="955"/>
      <c r="AO135" s="955"/>
      <c r="AP135" s="955"/>
      <c r="AQ135" s="955"/>
      <c r="AR135" s="955"/>
      <c r="AS135" s="955"/>
    </row>
    <row r="136" spans="2:45" s="1514" customFormat="1" x14ac:dyDescent="0.2">
      <c r="B136" s="1640"/>
      <c r="C136" s="1517"/>
      <c r="D136" s="1516"/>
      <c r="E136" s="1518"/>
      <c r="F136" s="1510"/>
      <c r="G136" s="1510"/>
      <c r="H136" s="1510"/>
      <c r="I136" s="1512"/>
      <c r="J136" s="1512"/>
      <c r="K136" s="1635" t="str">
        <f t="shared" si="6"/>
        <v/>
      </c>
      <c r="L136" s="1633"/>
      <c r="M136" s="1512"/>
      <c r="N136" s="1513" t="str">
        <f t="shared" si="7"/>
        <v/>
      </c>
      <c r="O136" s="1682" t="str">
        <f t="shared" si="8"/>
        <v/>
      </c>
      <c r="P136" s="1512"/>
      <c r="Q136" s="1513" t="str">
        <f t="shared" si="9"/>
        <v/>
      </c>
      <c r="R136" s="1683" t="str">
        <f t="shared" si="10"/>
        <v/>
      </c>
      <c r="S136" s="1512"/>
      <c r="T136" s="1513" t="str">
        <f t="shared" si="11"/>
        <v/>
      </c>
      <c r="U136" s="1512"/>
      <c r="V136" s="1512"/>
      <c r="W136" s="1638"/>
      <c r="X136" s="955"/>
      <c r="Y136" s="955"/>
      <c r="Z136" s="955"/>
      <c r="AA136" s="955"/>
      <c r="AB136" s="955"/>
      <c r="AC136" s="955"/>
      <c r="AD136" s="955"/>
      <c r="AE136" s="955"/>
      <c r="AF136" s="955"/>
      <c r="AG136" s="955"/>
      <c r="AH136" s="955"/>
      <c r="AI136" s="955"/>
      <c r="AJ136" s="955"/>
      <c r="AK136" s="955"/>
      <c r="AL136" s="955"/>
      <c r="AM136" s="955"/>
      <c r="AN136" s="955"/>
      <c r="AO136" s="955"/>
      <c r="AP136" s="955"/>
      <c r="AQ136" s="955"/>
      <c r="AR136" s="955"/>
      <c r="AS136" s="955"/>
    </row>
    <row r="137" spans="2:45" s="1514" customFormat="1" x14ac:dyDescent="0.2">
      <c r="B137" s="1640"/>
      <c r="C137" s="1517"/>
      <c r="D137" s="1516"/>
      <c r="E137" s="1518"/>
      <c r="F137" s="1510"/>
      <c r="G137" s="1510"/>
      <c r="H137" s="1510"/>
      <c r="I137" s="1512"/>
      <c r="J137" s="1512"/>
      <c r="K137" s="1635" t="str">
        <f t="shared" si="6"/>
        <v/>
      </c>
      <c r="L137" s="1633"/>
      <c r="M137" s="1512"/>
      <c r="N137" s="1513" t="str">
        <f t="shared" si="7"/>
        <v/>
      </c>
      <c r="O137" s="1682" t="str">
        <f t="shared" si="8"/>
        <v/>
      </c>
      <c r="P137" s="1512"/>
      <c r="Q137" s="1513" t="str">
        <f t="shared" si="9"/>
        <v/>
      </c>
      <c r="R137" s="1683" t="str">
        <f t="shared" si="10"/>
        <v/>
      </c>
      <c r="S137" s="1512"/>
      <c r="T137" s="1513" t="str">
        <f t="shared" si="11"/>
        <v/>
      </c>
      <c r="U137" s="1512"/>
      <c r="V137" s="1512"/>
      <c r="W137" s="1638"/>
      <c r="X137" s="955"/>
      <c r="Y137" s="955"/>
      <c r="Z137" s="955"/>
      <c r="AA137" s="955"/>
      <c r="AB137" s="955"/>
      <c r="AC137" s="955"/>
      <c r="AD137" s="955"/>
      <c r="AE137" s="955"/>
      <c r="AF137" s="955"/>
      <c r="AG137" s="955"/>
      <c r="AH137" s="955"/>
      <c r="AI137" s="955"/>
      <c r="AJ137" s="955"/>
      <c r="AK137" s="955"/>
      <c r="AL137" s="955"/>
      <c r="AM137" s="955"/>
      <c r="AN137" s="955"/>
      <c r="AO137" s="955"/>
      <c r="AP137" s="955"/>
      <c r="AQ137" s="955"/>
      <c r="AR137" s="955"/>
      <c r="AS137" s="955"/>
    </row>
    <row r="138" spans="2:45" s="1514" customFormat="1" x14ac:dyDescent="0.2">
      <c r="B138" s="1640"/>
      <c r="C138" s="1517"/>
      <c r="D138" s="1516"/>
      <c r="E138" s="1518"/>
      <c r="F138" s="1510"/>
      <c r="G138" s="1510"/>
      <c r="H138" s="1510"/>
      <c r="I138" s="1512"/>
      <c r="J138" s="1512"/>
      <c r="K138" s="1635" t="str">
        <f t="shared" si="6"/>
        <v/>
      </c>
      <c r="L138" s="1633"/>
      <c r="M138" s="1512"/>
      <c r="N138" s="1513" t="str">
        <f t="shared" si="7"/>
        <v/>
      </c>
      <c r="O138" s="1682" t="str">
        <f t="shared" si="8"/>
        <v/>
      </c>
      <c r="P138" s="1512"/>
      <c r="Q138" s="1513" t="str">
        <f t="shared" si="9"/>
        <v/>
      </c>
      <c r="R138" s="1683" t="str">
        <f t="shared" si="10"/>
        <v/>
      </c>
      <c r="S138" s="1512"/>
      <c r="T138" s="1513" t="str">
        <f t="shared" si="11"/>
        <v/>
      </c>
      <c r="U138" s="1512"/>
      <c r="V138" s="1512"/>
      <c r="W138" s="1638"/>
      <c r="X138" s="955"/>
      <c r="Y138" s="955"/>
      <c r="Z138" s="955"/>
      <c r="AA138" s="955"/>
      <c r="AB138" s="955"/>
      <c r="AC138" s="955"/>
      <c r="AD138" s="955"/>
      <c r="AE138" s="955"/>
      <c r="AF138" s="955"/>
      <c r="AG138" s="955"/>
      <c r="AH138" s="955"/>
      <c r="AI138" s="955"/>
      <c r="AJ138" s="955"/>
      <c r="AK138" s="955"/>
      <c r="AL138" s="955"/>
      <c r="AM138" s="955"/>
      <c r="AN138" s="955"/>
      <c r="AO138" s="955"/>
      <c r="AP138" s="955"/>
      <c r="AQ138" s="955"/>
      <c r="AR138" s="955"/>
      <c r="AS138" s="955"/>
    </row>
    <row r="139" spans="2:45" s="1514" customFormat="1" x14ac:dyDescent="0.2">
      <c r="B139" s="1640"/>
      <c r="C139" s="1517"/>
      <c r="D139" s="1516"/>
      <c r="E139" s="1518"/>
      <c r="F139" s="1510"/>
      <c r="G139" s="1510"/>
      <c r="H139" s="1510"/>
      <c r="I139" s="1512"/>
      <c r="J139" s="1512"/>
      <c r="K139" s="1635" t="str">
        <f t="shared" si="6"/>
        <v/>
      </c>
      <c r="L139" s="1633"/>
      <c r="M139" s="1512"/>
      <c r="N139" s="1513" t="str">
        <f t="shared" si="7"/>
        <v/>
      </c>
      <c r="O139" s="1682" t="str">
        <f t="shared" si="8"/>
        <v/>
      </c>
      <c r="P139" s="1512"/>
      <c r="Q139" s="1513" t="str">
        <f t="shared" si="9"/>
        <v/>
      </c>
      <c r="R139" s="1683" t="str">
        <f t="shared" si="10"/>
        <v/>
      </c>
      <c r="S139" s="1512"/>
      <c r="T139" s="1513" t="str">
        <f t="shared" si="11"/>
        <v/>
      </c>
      <c r="U139" s="1512"/>
      <c r="V139" s="1512"/>
      <c r="W139" s="1638"/>
      <c r="X139" s="955"/>
      <c r="Y139" s="955"/>
      <c r="Z139" s="955"/>
      <c r="AA139" s="955"/>
      <c r="AB139" s="955"/>
      <c r="AC139" s="955"/>
      <c r="AD139" s="955"/>
      <c r="AE139" s="955"/>
      <c r="AF139" s="955"/>
      <c r="AG139" s="955"/>
      <c r="AH139" s="955"/>
      <c r="AI139" s="955"/>
      <c r="AJ139" s="955"/>
      <c r="AK139" s="955"/>
      <c r="AL139" s="955"/>
      <c r="AM139" s="955"/>
      <c r="AN139" s="955"/>
      <c r="AO139" s="955"/>
      <c r="AP139" s="955"/>
      <c r="AQ139" s="955"/>
      <c r="AR139" s="955"/>
      <c r="AS139" s="955"/>
    </row>
    <row r="140" spans="2:45" s="1514" customFormat="1" x14ac:dyDescent="0.2">
      <c r="B140" s="1640"/>
      <c r="C140" s="1517"/>
      <c r="D140" s="1516"/>
      <c r="E140" s="1518"/>
      <c r="F140" s="1510"/>
      <c r="G140" s="1510"/>
      <c r="H140" s="1510"/>
      <c r="I140" s="1512"/>
      <c r="J140" s="1512"/>
      <c r="K140" s="1635" t="str">
        <f t="shared" si="6"/>
        <v/>
      </c>
      <c r="L140" s="1633"/>
      <c r="M140" s="1512"/>
      <c r="N140" s="1513" t="str">
        <f t="shared" si="7"/>
        <v/>
      </c>
      <c r="O140" s="1682" t="str">
        <f t="shared" si="8"/>
        <v/>
      </c>
      <c r="P140" s="1512"/>
      <c r="Q140" s="1513" t="str">
        <f t="shared" si="9"/>
        <v/>
      </c>
      <c r="R140" s="1683" t="str">
        <f t="shared" si="10"/>
        <v/>
      </c>
      <c r="S140" s="1512"/>
      <c r="T140" s="1513" t="str">
        <f t="shared" si="11"/>
        <v/>
      </c>
      <c r="U140" s="1512"/>
      <c r="V140" s="1512"/>
      <c r="W140" s="1638"/>
      <c r="X140" s="955"/>
      <c r="Y140" s="955"/>
      <c r="Z140" s="955"/>
      <c r="AA140" s="955"/>
      <c r="AB140" s="955"/>
      <c r="AC140" s="955"/>
      <c r="AD140" s="955"/>
      <c r="AE140" s="955"/>
      <c r="AF140" s="955"/>
      <c r="AG140" s="955"/>
      <c r="AH140" s="955"/>
      <c r="AI140" s="955"/>
      <c r="AJ140" s="955"/>
      <c r="AK140" s="955"/>
      <c r="AL140" s="955"/>
      <c r="AM140" s="955"/>
      <c r="AN140" s="955"/>
      <c r="AO140" s="955"/>
      <c r="AP140" s="955"/>
      <c r="AQ140" s="955"/>
      <c r="AR140" s="955"/>
      <c r="AS140" s="955"/>
    </row>
    <row r="141" spans="2:45" s="1514" customFormat="1" x14ac:dyDescent="0.2">
      <c r="B141" s="1640"/>
      <c r="C141" s="1517"/>
      <c r="D141" s="1516"/>
      <c r="E141" s="1518"/>
      <c r="F141" s="1510"/>
      <c r="G141" s="1510"/>
      <c r="H141" s="1510"/>
      <c r="I141" s="1512"/>
      <c r="J141" s="1512"/>
      <c r="K141" s="1635" t="str">
        <f t="shared" si="6"/>
        <v/>
      </c>
      <c r="L141" s="1633"/>
      <c r="M141" s="1512"/>
      <c r="N141" s="1513" t="str">
        <f t="shared" si="7"/>
        <v/>
      </c>
      <c r="O141" s="1682" t="str">
        <f t="shared" si="8"/>
        <v/>
      </c>
      <c r="P141" s="1512"/>
      <c r="Q141" s="1513" t="str">
        <f t="shared" si="9"/>
        <v/>
      </c>
      <c r="R141" s="1683" t="str">
        <f t="shared" si="10"/>
        <v/>
      </c>
      <c r="S141" s="1512"/>
      <c r="T141" s="1513" t="str">
        <f t="shared" si="11"/>
        <v/>
      </c>
      <c r="U141" s="1512"/>
      <c r="V141" s="1512"/>
      <c r="W141" s="1638"/>
      <c r="X141" s="955"/>
      <c r="Y141" s="955"/>
      <c r="Z141" s="955"/>
      <c r="AA141" s="955"/>
      <c r="AB141" s="955"/>
      <c r="AC141" s="955"/>
      <c r="AD141" s="955"/>
      <c r="AE141" s="955"/>
      <c r="AF141" s="955"/>
      <c r="AG141" s="955"/>
      <c r="AH141" s="955"/>
      <c r="AI141" s="955"/>
      <c r="AJ141" s="955"/>
      <c r="AK141" s="955"/>
      <c r="AL141" s="955"/>
      <c r="AM141" s="955"/>
      <c r="AN141" s="955"/>
      <c r="AO141" s="955"/>
      <c r="AP141" s="955"/>
      <c r="AQ141" s="955"/>
      <c r="AR141" s="955"/>
      <c r="AS141" s="955"/>
    </row>
    <row r="142" spans="2:45" s="1514" customFormat="1" x14ac:dyDescent="0.2">
      <c r="B142" s="1640"/>
      <c r="C142" s="1517"/>
      <c r="D142" s="1516"/>
      <c r="E142" s="1518"/>
      <c r="F142" s="1510"/>
      <c r="G142" s="1510"/>
      <c r="H142" s="1510"/>
      <c r="I142" s="1512"/>
      <c r="J142" s="1512"/>
      <c r="K142" s="1635" t="str">
        <f t="shared" si="6"/>
        <v/>
      </c>
      <c r="L142" s="1633"/>
      <c r="M142" s="1512"/>
      <c r="N142" s="1513" t="str">
        <f t="shared" si="7"/>
        <v/>
      </c>
      <c r="O142" s="1682" t="str">
        <f t="shared" si="8"/>
        <v/>
      </c>
      <c r="P142" s="1512"/>
      <c r="Q142" s="1513" t="str">
        <f t="shared" si="9"/>
        <v/>
      </c>
      <c r="R142" s="1683" t="str">
        <f t="shared" si="10"/>
        <v/>
      </c>
      <c r="S142" s="1512"/>
      <c r="T142" s="1513" t="str">
        <f t="shared" si="11"/>
        <v/>
      </c>
      <c r="U142" s="1512"/>
      <c r="V142" s="1512"/>
      <c r="W142" s="1638"/>
      <c r="X142" s="955"/>
      <c r="Y142" s="955"/>
      <c r="Z142" s="955"/>
      <c r="AA142" s="955"/>
      <c r="AB142" s="955"/>
      <c r="AC142" s="955"/>
      <c r="AD142" s="955"/>
      <c r="AE142" s="955"/>
      <c r="AF142" s="955"/>
      <c r="AG142" s="955"/>
      <c r="AH142" s="955"/>
      <c r="AI142" s="955"/>
      <c r="AJ142" s="955"/>
      <c r="AK142" s="955"/>
      <c r="AL142" s="955"/>
      <c r="AM142" s="955"/>
      <c r="AN142" s="955"/>
      <c r="AO142" s="955"/>
      <c r="AP142" s="955"/>
      <c r="AQ142" s="955"/>
      <c r="AR142" s="955"/>
      <c r="AS142" s="955"/>
    </row>
    <row r="143" spans="2:45" s="1514" customFormat="1" x14ac:dyDescent="0.2">
      <c r="B143" s="1640"/>
      <c r="C143" s="1517"/>
      <c r="D143" s="1516"/>
      <c r="E143" s="1518"/>
      <c r="F143" s="1510"/>
      <c r="G143" s="1510"/>
      <c r="H143" s="1510"/>
      <c r="I143" s="1512"/>
      <c r="J143" s="1512"/>
      <c r="K143" s="1635" t="str">
        <f t="shared" si="6"/>
        <v/>
      </c>
      <c r="L143" s="1633"/>
      <c r="M143" s="1512"/>
      <c r="N143" s="1513" t="str">
        <f t="shared" si="7"/>
        <v/>
      </c>
      <c r="O143" s="1682" t="str">
        <f t="shared" si="8"/>
        <v/>
      </c>
      <c r="P143" s="1512"/>
      <c r="Q143" s="1513" t="str">
        <f t="shared" si="9"/>
        <v/>
      </c>
      <c r="R143" s="1683" t="str">
        <f t="shared" si="10"/>
        <v/>
      </c>
      <c r="S143" s="1512"/>
      <c r="T143" s="1513" t="str">
        <f t="shared" si="11"/>
        <v/>
      </c>
      <c r="U143" s="1512"/>
      <c r="V143" s="1512"/>
      <c r="W143" s="1638"/>
      <c r="X143" s="955"/>
      <c r="Y143" s="955"/>
      <c r="Z143" s="955"/>
      <c r="AA143" s="955"/>
      <c r="AB143" s="955"/>
      <c r="AC143" s="955"/>
      <c r="AD143" s="955"/>
      <c r="AE143" s="955"/>
      <c r="AF143" s="955"/>
      <c r="AG143" s="955"/>
      <c r="AH143" s="955"/>
      <c r="AI143" s="955"/>
      <c r="AJ143" s="955"/>
      <c r="AK143" s="955"/>
      <c r="AL143" s="955"/>
      <c r="AM143" s="955"/>
      <c r="AN143" s="955"/>
      <c r="AO143" s="955"/>
      <c r="AP143" s="955"/>
      <c r="AQ143" s="955"/>
      <c r="AR143" s="955"/>
      <c r="AS143" s="955"/>
    </row>
    <row r="144" spans="2:45" s="1514" customFormat="1" x14ac:dyDescent="0.2">
      <c r="B144" s="1640"/>
      <c r="C144" s="1517"/>
      <c r="D144" s="1516"/>
      <c r="E144" s="1518"/>
      <c r="F144" s="1510"/>
      <c r="G144" s="1510"/>
      <c r="H144" s="1510"/>
      <c r="I144" s="1512"/>
      <c r="J144" s="1512"/>
      <c r="K144" s="1635" t="str">
        <f t="shared" si="6"/>
        <v/>
      </c>
      <c r="L144" s="1633"/>
      <c r="M144" s="1512"/>
      <c r="N144" s="1513" t="str">
        <f t="shared" si="7"/>
        <v/>
      </c>
      <c r="O144" s="1682" t="str">
        <f t="shared" si="8"/>
        <v/>
      </c>
      <c r="P144" s="1512"/>
      <c r="Q144" s="1513" t="str">
        <f t="shared" si="9"/>
        <v/>
      </c>
      <c r="R144" s="1683" t="str">
        <f t="shared" si="10"/>
        <v/>
      </c>
      <c r="S144" s="1512"/>
      <c r="T144" s="1513" t="str">
        <f t="shared" si="11"/>
        <v/>
      </c>
      <c r="U144" s="1512"/>
      <c r="V144" s="1512"/>
      <c r="W144" s="1638"/>
      <c r="X144" s="955"/>
      <c r="Y144" s="955"/>
      <c r="Z144" s="955"/>
      <c r="AA144" s="955"/>
      <c r="AB144" s="955"/>
      <c r="AC144" s="955"/>
      <c r="AD144" s="955"/>
      <c r="AE144" s="955"/>
      <c r="AF144" s="955"/>
      <c r="AG144" s="955"/>
      <c r="AH144" s="955"/>
      <c r="AI144" s="955"/>
      <c r="AJ144" s="955"/>
      <c r="AK144" s="955"/>
      <c r="AL144" s="955"/>
      <c r="AM144" s="955"/>
      <c r="AN144" s="955"/>
      <c r="AO144" s="955"/>
      <c r="AP144" s="955"/>
      <c r="AQ144" s="955"/>
      <c r="AR144" s="955"/>
      <c r="AS144" s="955"/>
    </row>
    <row r="145" spans="2:45" s="1514" customFormat="1" x14ac:dyDescent="0.2">
      <c r="B145" s="1640"/>
      <c r="C145" s="1517"/>
      <c r="D145" s="1516"/>
      <c r="E145" s="1518"/>
      <c r="F145" s="1510"/>
      <c r="G145" s="1510"/>
      <c r="H145" s="1510"/>
      <c r="I145" s="1512"/>
      <c r="J145" s="1512"/>
      <c r="K145" s="1635" t="str">
        <f t="shared" si="6"/>
        <v/>
      </c>
      <c r="L145" s="1633"/>
      <c r="M145" s="1512"/>
      <c r="N145" s="1513" t="str">
        <f t="shared" si="7"/>
        <v/>
      </c>
      <c r="O145" s="1682" t="str">
        <f t="shared" si="8"/>
        <v/>
      </c>
      <c r="P145" s="1512"/>
      <c r="Q145" s="1513" t="str">
        <f t="shared" si="9"/>
        <v/>
      </c>
      <c r="R145" s="1683" t="str">
        <f t="shared" si="10"/>
        <v/>
      </c>
      <c r="S145" s="1512"/>
      <c r="T145" s="1513" t="str">
        <f t="shared" si="11"/>
        <v/>
      </c>
      <c r="U145" s="1512"/>
      <c r="V145" s="1512"/>
      <c r="W145" s="1638"/>
      <c r="X145" s="955"/>
      <c r="Y145" s="955"/>
      <c r="Z145" s="955"/>
      <c r="AA145" s="955"/>
      <c r="AB145" s="955"/>
      <c r="AC145" s="955"/>
      <c r="AD145" s="955"/>
      <c r="AE145" s="955"/>
      <c r="AF145" s="955"/>
      <c r="AG145" s="955"/>
      <c r="AH145" s="955"/>
      <c r="AI145" s="955"/>
      <c r="AJ145" s="955"/>
      <c r="AK145" s="955"/>
      <c r="AL145" s="955"/>
      <c r="AM145" s="955"/>
      <c r="AN145" s="955"/>
      <c r="AO145" s="955"/>
      <c r="AP145" s="955"/>
      <c r="AQ145" s="955"/>
      <c r="AR145" s="955"/>
      <c r="AS145" s="955"/>
    </row>
    <row r="146" spans="2:45" s="1514" customFormat="1" x14ac:dyDescent="0.2">
      <c r="B146" s="1640"/>
      <c r="C146" s="1517"/>
      <c r="D146" s="1516"/>
      <c r="E146" s="1518"/>
      <c r="F146" s="1510"/>
      <c r="G146" s="1510"/>
      <c r="H146" s="1510"/>
      <c r="I146" s="1512"/>
      <c r="J146" s="1512"/>
      <c r="K146" s="1635" t="str">
        <f t="shared" si="6"/>
        <v/>
      </c>
      <c r="L146" s="1633"/>
      <c r="M146" s="1512"/>
      <c r="N146" s="1513" t="str">
        <f t="shared" si="7"/>
        <v/>
      </c>
      <c r="O146" s="1682" t="str">
        <f t="shared" si="8"/>
        <v/>
      </c>
      <c r="P146" s="1512"/>
      <c r="Q146" s="1513" t="str">
        <f t="shared" si="9"/>
        <v/>
      </c>
      <c r="R146" s="1683" t="str">
        <f t="shared" si="10"/>
        <v/>
      </c>
      <c r="S146" s="1512"/>
      <c r="T146" s="1513" t="str">
        <f t="shared" si="11"/>
        <v/>
      </c>
      <c r="U146" s="1512"/>
      <c r="V146" s="1512"/>
      <c r="W146" s="1638"/>
      <c r="X146" s="955"/>
      <c r="Y146" s="955"/>
      <c r="Z146" s="955"/>
      <c r="AA146" s="955"/>
      <c r="AB146" s="955"/>
      <c r="AC146" s="955"/>
      <c r="AD146" s="955"/>
      <c r="AE146" s="955"/>
      <c r="AF146" s="955"/>
      <c r="AG146" s="955"/>
      <c r="AH146" s="955"/>
      <c r="AI146" s="955"/>
      <c r="AJ146" s="955"/>
      <c r="AK146" s="955"/>
      <c r="AL146" s="955"/>
      <c r="AM146" s="955"/>
      <c r="AN146" s="955"/>
      <c r="AO146" s="955"/>
      <c r="AP146" s="955"/>
      <c r="AQ146" s="955"/>
      <c r="AR146" s="955"/>
      <c r="AS146" s="955"/>
    </row>
    <row r="147" spans="2:45" s="1514" customFormat="1" x14ac:dyDescent="0.2">
      <c r="B147" s="1640"/>
      <c r="C147" s="1517"/>
      <c r="D147" s="1516"/>
      <c r="E147" s="1518"/>
      <c r="F147" s="1510"/>
      <c r="G147" s="1510"/>
      <c r="H147" s="1510"/>
      <c r="I147" s="1512"/>
      <c r="J147" s="1512"/>
      <c r="K147" s="1635" t="str">
        <f t="shared" si="6"/>
        <v/>
      </c>
      <c r="L147" s="1633"/>
      <c r="M147" s="1512"/>
      <c r="N147" s="1513" t="str">
        <f t="shared" si="7"/>
        <v/>
      </c>
      <c r="O147" s="1682" t="str">
        <f t="shared" si="8"/>
        <v/>
      </c>
      <c r="P147" s="1512"/>
      <c r="Q147" s="1513" t="str">
        <f t="shared" si="9"/>
        <v/>
      </c>
      <c r="R147" s="1683" t="str">
        <f t="shared" si="10"/>
        <v/>
      </c>
      <c r="S147" s="1512"/>
      <c r="T147" s="1513" t="str">
        <f t="shared" si="11"/>
        <v/>
      </c>
      <c r="U147" s="1512"/>
      <c r="V147" s="1512"/>
      <c r="W147" s="1638"/>
      <c r="X147" s="955"/>
      <c r="Y147" s="955"/>
      <c r="Z147" s="955"/>
      <c r="AA147" s="955"/>
      <c r="AB147" s="955"/>
      <c r="AC147" s="955"/>
      <c r="AD147" s="955"/>
      <c r="AE147" s="955"/>
      <c r="AF147" s="955"/>
      <c r="AG147" s="955"/>
      <c r="AH147" s="955"/>
      <c r="AI147" s="955"/>
      <c r="AJ147" s="955"/>
      <c r="AK147" s="955"/>
      <c r="AL147" s="955"/>
      <c r="AM147" s="955"/>
      <c r="AN147" s="955"/>
      <c r="AO147" s="955"/>
      <c r="AP147" s="955"/>
      <c r="AQ147" s="955"/>
      <c r="AR147" s="955"/>
      <c r="AS147" s="955"/>
    </row>
    <row r="148" spans="2:45" s="1514" customFormat="1" x14ac:dyDescent="0.2">
      <c r="B148" s="1640"/>
      <c r="C148" s="1517"/>
      <c r="D148" s="1516"/>
      <c r="E148" s="1518"/>
      <c r="F148" s="1510"/>
      <c r="G148" s="1510"/>
      <c r="H148" s="1510"/>
      <c r="I148" s="1512"/>
      <c r="J148" s="1512"/>
      <c r="K148" s="1635" t="str">
        <f t="shared" si="6"/>
        <v/>
      </c>
      <c r="L148" s="1633"/>
      <c r="M148" s="1512"/>
      <c r="N148" s="1513" t="str">
        <f t="shared" si="7"/>
        <v/>
      </c>
      <c r="O148" s="1682" t="str">
        <f t="shared" si="8"/>
        <v/>
      </c>
      <c r="P148" s="1512"/>
      <c r="Q148" s="1513" t="str">
        <f t="shared" si="9"/>
        <v/>
      </c>
      <c r="R148" s="1683" t="str">
        <f t="shared" si="10"/>
        <v/>
      </c>
      <c r="S148" s="1512"/>
      <c r="T148" s="1513" t="str">
        <f t="shared" si="11"/>
        <v/>
      </c>
      <c r="U148" s="1512"/>
      <c r="V148" s="1512"/>
      <c r="W148" s="1638"/>
      <c r="X148" s="955"/>
      <c r="Y148" s="955"/>
      <c r="Z148" s="955"/>
      <c r="AA148" s="955"/>
      <c r="AB148" s="955"/>
      <c r="AC148" s="955"/>
      <c r="AD148" s="955"/>
      <c r="AE148" s="955"/>
      <c r="AF148" s="955"/>
      <c r="AG148" s="955"/>
      <c r="AH148" s="955"/>
      <c r="AI148" s="955"/>
      <c r="AJ148" s="955"/>
      <c r="AK148" s="955"/>
      <c r="AL148" s="955"/>
      <c r="AM148" s="955"/>
      <c r="AN148" s="955"/>
      <c r="AO148" s="955"/>
      <c r="AP148" s="955"/>
      <c r="AQ148" s="955"/>
      <c r="AR148" s="955"/>
      <c r="AS148" s="955"/>
    </row>
    <row r="149" spans="2:45" s="1514" customFormat="1" x14ac:dyDescent="0.2">
      <c r="B149" s="1640"/>
      <c r="C149" s="1517"/>
      <c r="D149" s="1516"/>
      <c r="E149" s="1518"/>
      <c r="F149" s="1510"/>
      <c r="G149" s="1510"/>
      <c r="H149" s="1510"/>
      <c r="I149" s="1512"/>
      <c r="J149" s="1512"/>
      <c r="K149" s="1635" t="str">
        <f t="shared" si="6"/>
        <v/>
      </c>
      <c r="L149" s="1633"/>
      <c r="M149" s="1512"/>
      <c r="N149" s="1513" t="str">
        <f t="shared" si="7"/>
        <v/>
      </c>
      <c r="O149" s="1682" t="str">
        <f t="shared" si="8"/>
        <v/>
      </c>
      <c r="P149" s="1512"/>
      <c r="Q149" s="1513" t="str">
        <f t="shared" si="9"/>
        <v/>
      </c>
      <c r="R149" s="1683" t="str">
        <f t="shared" si="10"/>
        <v/>
      </c>
      <c r="S149" s="1512"/>
      <c r="T149" s="1513" t="str">
        <f t="shared" si="11"/>
        <v/>
      </c>
      <c r="U149" s="1512"/>
      <c r="V149" s="1512"/>
      <c r="W149" s="1638"/>
      <c r="X149" s="955"/>
      <c r="Y149" s="955"/>
      <c r="Z149" s="955"/>
      <c r="AA149" s="955"/>
      <c r="AB149" s="955"/>
      <c r="AC149" s="955"/>
      <c r="AD149" s="955"/>
      <c r="AE149" s="955"/>
      <c r="AF149" s="955"/>
      <c r="AG149" s="955"/>
      <c r="AH149" s="955"/>
      <c r="AI149" s="955"/>
      <c r="AJ149" s="955"/>
      <c r="AK149" s="955"/>
      <c r="AL149" s="955"/>
      <c r="AM149" s="955"/>
      <c r="AN149" s="955"/>
      <c r="AO149" s="955"/>
      <c r="AP149" s="955"/>
      <c r="AQ149" s="955"/>
      <c r="AR149" s="955"/>
      <c r="AS149" s="955"/>
    </row>
    <row r="150" spans="2:45" s="1514" customFormat="1" x14ac:dyDescent="0.2">
      <c r="B150" s="1640"/>
      <c r="C150" s="1517"/>
      <c r="D150" s="1516"/>
      <c r="E150" s="1518"/>
      <c r="F150" s="1510"/>
      <c r="G150" s="1510"/>
      <c r="H150" s="1510"/>
      <c r="I150" s="1512"/>
      <c r="J150" s="1512"/>
      <c r="K150" s="1635" t="str">
        <f t="shared" si="6"/>
        <v/>
      </c>
      <c r="L150" s="1633"/>
      <c r="M150" s="1512"/>
      <c r="N150" s="1513" t="str">
        <f t="shared" si="7"/>
        <v/>
      </c>
      <c r="O150" s="1682" t="str">
        <f t="shared" si="8"/>
        <v/>
      </c>
      <c r="P150" s="1512"/>
      <c r="Q150" s="1513" t="str">
        <f t="shared" si="9"/>
        <v/>
      </c>
      <c r="R150" s="1683" t="str">
        <f t="shared" si="10"/>
        <v/>
      </c>
      <c r="S150" s="1512"/>
      <c r="T150" s="1513" t="str">
        <f t="shared" si="11"/>
        <v/>
      </c>
      <c r="U150" s="1512"/>
      <c r="V150" s="1512"/>
      <c r="W150" s="1638"/>
      <c r="X150" s="955"/>
      <c r="Y150" s="955"/>
      <c r="Z150" s="955"/>
      <c r="AA150" s="955"/>
      <c r="AB150" s="955"/>
      <c r="AC150" s="955"/>
      <c r="AD150" s="955"/>
      <c r="AE150" s="955"/>
      <c r="AF150" s="955"/>
      <c r="AG150" s="955"/>
      <c r="AH150" s="955"/>
      <c r="AI150" s="955"/>
      <c r="AJ150" s="955"/>
      <c r="AK150" s="955"/>
      <c r="AL150" s="955"/>
      <c r="AM150" s="955"/>
      <c r="AN150" s="955"/>
      <c r="AO150" s="955"/>
      <c r="AP150" s="955"/>
      <c r="AQ150" s="955"/>
      <c r="AR150" s="955"/>
      <c r="AS150" s="955"/>
    </row>
    <row r="151" spans="2:45" s="1514" customFormat="1" x14ac:dyDescent="0.2">
      <c r="B151" s="1640"/>
      <c r="C151" s="1517"/>
      <c r="D151" s="1516"/>
      <c r="E151" s="1518"/>
      <c r="F151" s="1510"/>
      <c r="G151" s="1510"/>
      <c r="H151" s="1510"/>
      <c r="I151" s="1512"/>
      <c r="J151" s="1512"/>
      <c r="K151" s="1635" t="str">
        <f t="shared" si="6"/>
        <v/>
      </c>
      <c r="L151" s="1633"/>
      <c r="M151" s="1512"/>
      <c r="N151" s="1513" t="str">
        <f t="shared" si="7"/>
        <v/>
      </c>
      <c r="O151" s="1682" t="str">
        <f t="shared" si="8"/>
        <v/>
      </c>
      <c r="P151" s="1512"/>
      <c r="Q151" s="1513" t="str">
        <f t="shared" si="9"/>
        <v/>
      </c>
      <c r="R151" s="1683" t="str">
        <f t="shared" si="10"/>
        <v/>
      </c>
      <c r="S151" s="1512"/>
      <c r="T151" s="1513" t="str">
        <f t="shared" si="11"/>
        <v/>
      </c>
      <c r="U151" s="1512"/>
      <c r="V151" s="1512"/>
      <c r="W151" s="1638"/>
      <c r="X151" s="955"/>
      <c r="Y151" s="955"/>
      <c r="Z151" s="955"/>
      <c r="AA151" s="955"/>
      <c r="AB151" s="955"/>
      <c r="AC151" s="955"/>
      <c r="AD151" s="955"/>
      <c r="AE151" s="955"/>
      <c r="AF151" s="955"/>
      <c r="AG151" s="955"/>
      <c r="AH151" s="955"/>
      <c r="AI151" s="955"/>
      <c r="AJ151" s="955"/>
      <c r="AK151" s="955"/>
      <c r="AL151" s="955"/>
      <c r="AM151" s="955"/>
      <c r="AN151" s="955"/>
      <c r="AO151" s="955"/>
      <c r="AP151" s="955"/>
      <c r="AQ151" s="955"/>
      <c r="AR151" s="955"/>
      <c r="AS151" s="955"/>
    </row>
    <row r="152" spans="2:45" s="1514" customFormat="1" x14ac:dyDescent="0.2">
      <c r="B152" s="1640"/>
      <c r="C152" s="1517"/>
      <c r="D152" s="1516"/>
      <c r="E152" s="1518"/>
      <c r="F152" s="1510"/>
      <c r="G152" s="1510"/>
      <c r="H152" s="1510"/>
      <c r="I152" s="1512"/>
      <c r="J152" s="1512"/>
      <c r="K152" s="1635" t="str">
        <f t="shared" si="6"/>
        <v/>
      </c>
      <c r="L152" s="1633"/>
      <c r="M152" s="1512"/>
      <c r="N152" s="1513" t="str">
        <f t="shared" si="7"/>
        <v/>
      </c>
      <c r="O152" s="1682" t="str">
        <f t="shared" si="8"/>
        <v/>
      </c>
      <c r="P152" s="1512"/>
      <c r="Q152" s="1513" t="str">
        <f t="shared" si="9"/>
        <v/>
      </c>
      <c r="R152" s="1683" t="str">
        <f t="shared" si="10"/>
        <v/>
      </c>
      <c r="S152" s="1512"/>
      <c r="T152" s="1513" t="str">
        <f t="shared" si="11"/>
        <v/>
      </c>
      <c r="U152" s="1512"/>
      <c r="V152" s="1512"/>
      <c r="W152" s="1638"/>
      <c r="X152" s="955"/>
      <c r="Y152" s="955"/>
      <c r="Z152" s="955"/>
      <c r="AA152" s="955"/>
      <c r="AB152" s="955"/>
      <c r="AC152" s="955"/>
      <c r="AD152" s="955"/>
      <c r="AE152" s="955"/>
      <c r="AF152" s="955"/>
      <c r="AG152" s="955"/>
      <c r="AH152" s="955"/>
      <c r="AI152" s="955"/>
      <c r="AJ152" s="955"/>
      <c r="AK152" s="955"/>
      <c r="AL152" s="955"/>
      <c r="AM152" s="955"/>
      <c r="AN152" s="955"/>
      <c r="AO152" s="955"/>
      <c r="AP152" s="955"/>
      <c r="AQ152" s="955"/>
      <c r="AR152" s="955"/>
      <c r="AS152" s="955"/>
    </row>
    <row r="153" spans="2:45" s="1514" customFormat="1" x14ac:dyDescent="0.2">
      <c r="B153" s="1640"/>
      <c r="C153" s="1517"/>
      <c r="D153" s="1516"/>
      <c r="E153" s="1518"/>
      <c r="F153" s="1510"/>
      <c r="G153" s="1510"/>
      <c r="H153" s="1510"/>
      <c r="I153" s="1512"/>
      <c r="J153" s="1512"/>
      <c r="K153" s="1635" t="str">
        <f t="shared" si="6"/>
        <v/>
      </c>
      <c r="L153" s="1633"/>
      <c r="M153" s="1512"/>
      <c r="N153" s="1513" t="str">
        <f t="shared" si="7"/>
        <v/>
      </c>
      <c r="O153" s="1682" t="str">
        <f t="shared" si="8"/>
        <v/>
      </c>
      <c r="P153" s="1512"/>
      <c r="Q153" s="1513" t="str">
        <f t="shared" si="9"/>
        <v/>
      </c>
      <c r="R153" s="1683" t="str">
        <f t="shared" si="10"/>
        <v/>
      </c>
      <c r="S153" s="1512"/>
      <c r="T153" s="1513" t="str">
        <f t="shared" si="11"/>
        <v/>
      </c>
      <c r="U153" s="1512"/>
      <c r="V153" s="1512"/>
      <c r="W153" s="1638"/>
      <c r="X153" s="955"/>
      <c r="Y153" s="955"/>
      <c r="Z153" s="955"/>
      <c r="AA153" s="955"/>
      <c r="AB153" s="955"/>
      <c r="AC153" s="955"/>
      <c r="AD153" s="955"/>
      <c r="AE153" s="955"/>
      <c r="AF153" s="955"/>
      <c r="AG153" s="955"/>
      <c r="AH153" s="955"/>
      <c r="AI153" s="955"/>
      <c r="AJ153" s="955"/>
      <c r="AK153" s="955"/>
      <c r="AL153" s="955"/>
      <c r="AM153" s="955"/>
      <c r="AN153" s="955"/>
      <c r="AO153" s="955"/>
      <c r="AP153" s="955"/>
      <c r="AQ153" s="955"/>
      <c r="AR153" s="955"/>
      <c r="AS153" s="955"/>
    </row>
    <row r="154" spans="2:45" s="1514" customFormat="1" x14ac:dyDescent="0.2">
      <c r="B154" s="1640"/>
      <c r="C154" s="1517"/>
      <c r="D154" s="1516"/>
      <c r="E154" s="1518"/>
      <c r="F154" s="1510"/>
      <c r="G154" s="1510"/>
      <c r="H154" s="1510"/>
      <c r="I154" s="1512"/>
      <c r="J154" s="1512"/>
      <c r="K154" s="1635" t="str">
        <f t="shared" ref="K154:K217" si="12">IF(AND(I154=0,J154=0),"",IF(J154&lt;&gt;0,IF(J154&gt;I154,100,J154/I154*100),0))</f>
        <v/>
      </c>
      <c r="L154" s="1633"/>
      <c r="M154" s="1512"/>
      <c r="N154" s="1513" t="str">
        <f t="shared" ref="N154:N217" si="13">IF(AND(L154=0,M154=0),"",IF(M154&lt;&gt;0,IF(M154&gt;L154,100,M154/L154*100),0))</f>
        <v/>
      </c>
      <c r="O154" s="1682" t="str">
        <f t="shared" ref="O154:O217" si="14">IF(L154="","",L154)</f>
        <v/>
      </c>
      <c r="P154" s="1512"/>
      <c r="Q154" s="1513" t="str">
        <f t="shared" ref="Q154:Q217" si="15">IF(O154="","",IF(AND(O154=0,P154=0),0,IF(P154&lt;&gt;0,IF(P154&gt;O154,100,P154/O154*100),0)))</f>
        <v/>
      </c>
      <c r="R154" s="1683" t="str">
        <f t="shared" ref="R154:R217" si="16">IF(P154="","",P154)</f>
        <v/>
      </c>
      <c r="S154" s="1512"/>
      <c r="T154" s="1513" t="str">
        <f t="shared" ref="T154:T217" si="17">IF(R154="","",IF(AND(R154=0,S154=0),0,IF(S154&lt;&gt;0,IF(S154&gt;R154,100,S154/R154*100),0)))</f>
        <v/>
      </c>
      <c r="U154" s="1512"/>
      <c r="V154" s="1512"/>
      <c r="W154" s="1638"/>
      <c r="X154" s="955"/>
      <c r="Y154" s="955"/>
      <c r="Z154" s="955"/>
      <c r="AA154" s="955"/>
      <c r="AB154" s="955"/>
      <c r="AC154" s="955"/>
      <c r="AD154" s="955"/>
      <c r="AE154" s="955"/>
      <c r="AF154" s="955"/>
      <c r="AG154" s="955"/>
      <c r="AH154" s="955"/>
      <c r="AI154" s="955"/>
      <c r="AJ154" s="955"/>
      <c r="AK154" s="955"/>
      <c r="AL154" s="955"/>
      <c r="AM154" s="955"/>
      <c r="AN154" s="955"/>
      <c r="AO154" s="955"/>
      <c r="AP154" s="955"/>
      <c r="AQ154" s="955"/>
      <c r="AR154" s="955"/>
      <c r="AS154" s="955"/>
    </row>
    <row r="155" spans="2:45" s="1514" customFormat="1" x14ac:dyDescent="0.2">
      <c r="B155" s="1640"/>
      <c r="C155" s="1517"/>
      <c r="D155" s="1516"/>
      <c r="E155" s="1518"/>
      <c r="F155" s="1510"/>
      <c r="G155" s="1510"/>
      <c r="H155" s="1510"/>
      <c r="I155" s="1512"/>
      <c r="J155" s="1512"/>
      <c r="K155" s="1635" t="str">
        <f t="shared" si="12"/>
        <v/>
      </c>
      <c r="L155" s="1633"/>
      <c r="M155" s="1512"/>
      <c r="N155" s="1513" t="str">
        <f t="shared" si="13"/>
        <v/>
      </c>
      <c r="O155" s="1682" t="str">
        <f t="shared" si="14"/>
        <v/>
      </c>
      <c r="P155" s="1512"/>
      <c r="Q155" s="1513" t="str">
        <f t="shared" si="15"/>
        <v/>
      </c>
      <c r="R155" s="1683" t="str">
        <f t="shared" si="16"/>
        <v/>
      </c>
      <c r="S155" s="1512"/>
      <c r="T155" s="1513" t="str">
        <f t="shared" si="17"/>
        <v/>
      </c>
      <c r="U155" s="1512"/>
      <c r="V155" s="1512"/>
      <c r="W155" s="1638"/>
      <c r="X155" s="955"/>
      <c r="Y155" s="955"/>
      <c r="Z155" s="955"/>
      <c r="AA155" s="955"/>
      <c r="AB155" s="955"/>
      <c r="AC155" s="955"/>
      <c r="AD155" s="955"/>
      <c r="AE155" s="955"/>
      <c r="AF155" s="955"/>
      <c r="AG155" s="955"/>
      <c r="AH155" s="955"/>
      <c r="AI155" s="955"/>
      <c r="AJ155" s="955"/>
      <c r="AK155" s="955"/>
      <c r="AL155" s="955"/>
      <c r="AM155" s="955"/>
      <c r="AN155" s="955"/>
      <c r="AO155" s="955"/>
      <c r="AP155" s="955"/>
      <c r="AQ155" s="955"/>
      <c r="AR155" s="955"/>
      <c r="AS155" s="955"/>
    </row>
    <row r="156" spans="2:45" s="1514" customFormat="1" x14ac:dyDescent="0.2">
      <c r="B156" s="1640"/>
      <c r="C156" s="1517"/>
      <c r="D156" s="1516"/>
      <c r="E156" s="1518"/>
      <c r="F156" s="1510"/>
      <c r="G156" s="1510"/>
      <c r="H156" s="1510"/>
      <c r="I156" s="1512"/>
      <c r="J156" s="1512"/>
      <c r="K156" s="1635" t="str">
        <f t="shared" si="12"/>
        <v/>
      </c>
      <c r="L156" s="1633"/>
      <c r="M156" s="1512"/>
      <c r="N156" s="1513" t="str">
        <f t="shared" si="13"/>
        <v/>
      </c>
      <c r="O156" s="1682" t="str">
        <f t="shared" si="14"/>
        <v/>
      </c>
      <c r="P156" s="1512"/>
      <c r="Q156" s="1513" t="str">
        <f t="shared" si="15"/>
        <v/>
      </c>
      <c r="R156" s="1683" t="str">
        <f t="shared" si="16"/>
        <v/>
      </c>
      <c r="S156" s="1512"/>
      <c r="T156" s="1513" t="str">
        <f t="shared" si="17"/>
        <v/>
      </c>
      <c r="U156" s="1512"/>
      <c r="V156" s="1512"/>
      <c r="W156" s="1638"/>
      <c r="X156" s="955"/>
      <c r="Y156" s="955"/>
      <c r="Z156" s="955"/>
      <c r="AA156" s="955"/>
      <c r="AB156" s="955"/>
      <c r="AC156" s="955"/>
      <c r="AD156" s="955"/>
      <c r="AE156" s="955"/>
      <c r="AF156" s="955"/>
      <c r="AG156" s="955"/>
      <c r="AH156" s="955"/>
      <c r="AI156" s="955"/>
      <c r="AJ156" s="955"/>
      <c r="AK156" s="955"/>
      <c r="AL156" s="955"/>
      <c r="AM156" s="955"/>
      <c r="AN156" s="955"/>
      <c r="AO156" s="955"/>
      <c r="AP156" s="955"/>
      <c r="AQ156" s="955"/>
      <c r="AR156" s="955"/>
      <c r="AS156" s="955"/>
    </row>
    <row r="157" spans="2:45" s="1514" customFormat="1" x14ac:dyDescent="0.2">
      <c r="B157" s="1640"/>
      <c r="C157" s="1517"/>
      <c r="D157" s="1516"/>
      <c r="E157" s="1518"/>
      <c r="F157" s="1510"/>
      <c r="G157" s="1510"/>
      <c r="H157" s="1510"/>
      <c r="I157" s="1512"/>
      <c r="J157" s="1512"/>
      <c r="K157" s="1635" t="str">
        <f t="shared" si="12"/>
        <v/>
      </c>
      <c r="L157" s="1633"/>
      <c r="M157" s="1512"/>
      <c r="N157" s="1513" t="str">
        <f t="shared" si="13"/>
        <v/>
      </c>
      <c r="O157" s="1682" t="str">
        <f t="shared" si="14"/>
        <v/>
      </c>
      <c r="P157" s="1512"/>
      <c r="Q157" s="1513" t="str">
        <f t="shared" si="15"/>
        <v/>
      </c>
      <c r="R157" s="1683" t="str">
        <f t="shared" si="16"/>
        <v/>
      </c>
      <c r="S157" s="1512"/>
      <c r="T157" s="1513" t="str">
        <f t="shared" si="17"/>
        <v/>
      </c>
      <c r="U157" s="1512"/>
      <c r="V157" s="1512"/>
      <c r="W157" s="1638"/>
      <c r="X157" s="955"/>
      <c r="Y157" s="955"/>
      <c r="Z157" s="955"/>
      <c r="AA157" s="955"/>
      <c r="AB157" s="955"/>
      <c r="AC157" s="955"/>
      <c r="AD157" s="955"/>
      <c r="AE157" s="955"/>
      <c r="AF157" s="955"/>
      <c r="AG157" s="955"/>
      <c r="AH157" s="955"/>
      <c r="AI157" s="955"/>
      <c r="AJ157" s="955"/>
      <c r="AK157" s="955"/>
      <c r="AL157" s="955"/>
      <c r="AM157" s="955"/>
      <c r="AN157" s="955"/>
      <c r="AO157" s="955"/>
      <c r="AP157" s="955"/>
      <c r="AQ157" s="955"/>
      <c r="AR157" s="955"/>
      <c r="AS157" s="955"/>
    </row>
    <row r="158" spans="2:45" s="1514" customFormat="1" x14ac:dyDescent="0.2">
      <c r="B158" s="1640"/>
      <c r="C158" s="1517"/>
      <c r="D158" s="1516"/>
      <c r="E158" s="1518"/>
      <c r="F158" s="1510"/>
      <c r="G158" s="1510"/>
      <c r="H158" s="1510"/>
      <c r="I158" s="1512"/>
      <c r="J158" s="1512"/>
      <c r="K158" s="1635" t="str">
        <f t="shared" si="12"/>
        <v/>
      </c>
      <c r="L158" s="1633"/>
      <c r="M158" s="1512"/>
      <c r="N158" s="1513" t="str">
        <f t="shared" si="13"/>
        <v/>
      </c>
      <c r="O158" s="1682" t="str">
        <f t="shared" si="14"/>
        <v/>
      </c>
      <c r="P158" s="1512"/>
      <c r="Q158" s="1513" t="str">
        <f t="shared" si="15"/>
        <v/>
      </c>
      <c r="R158" s="1683" t="str">
        <f t="shared" si="16"/>
        <v/>
      </c>
      <c r="S158" s="1512"/>
      <c r="T158" s="1513" t="str">
        <f t="shared" si="17"/>
        <v/>
      </c>
      <c r="U158" s="1512"/>
      <c r="V158" s="1512"/>
      <c r="W158" s="1638"/>
      <c r="X158" s="955"/>
      <c r="Y158" s="955"/>
      <c r="Z158" s="955"/>
      <c r="AA158" s="955"/>
      <c r="AB158" s="955"/>
      <c r="AC158" s="955"/>
      <c r="AD158" s="955"/>
      <c r="AE158" s="955"/>
      <c r="AF158" s="955"/>
      <c r="AG158" s="955"/>
      <c r="AH158" s="955"/>
      <c r="AI158" s="955"/>
      <c r="AJ158" s="955"/>
      <c r="AK158" s="955"/>
      <c r="AL158" s="955"/>
      <c r="AM158" s="955"/>
      <c r="AN158" s="955"/>
      <c r="AO158" s="955"/>
      <c r="AP158" s="955"/>
      <c r="AQ158" s="955"/>
      <c r="AR158" s="955"/>
      <c r="AS158" s="955"/>
    </row>
    <row r="159" spans="2:45" s="1514" customFormat="1" x14ac:dyDescent="0.2">
      <c r="B159" s="1640"/>
      <c r="C159" s="1517"/>
      <c r="D159" s="1516"/>
      <c r="E159" s="1518"/>
      <c r="F159" s="1510"/>
      <c r="G159" s="1510"/>
      <c r="H159" s="1510"/>
      <c r="I159" s="1512"/>
      <c r="J159" s="1512"/>
      <c r="K159" s="1635" t="str">
        <f t="shared" si="12"/>
        <v/>
      </c>
      <c r="L159" s="1633"/>
      <c r="M159" s="1512"/>
      <c r="N159" s="1513" t="str">
        <f t="shared" si="13"/>
        <v/>
      </c>
      <c r="O159" s="1682" t="str">
        <f t="shared" si="14"/>
        <v/>
      </c>
      <c r="P159" s="1512"/>
      <c r="Q159" s="1513" t="str">
        <f t="shared" si="15"/>
        <v/>
      </c>
      <c r="R159" s="1683" t="str">
        <f t="shared" si="16"/>
        <v/>
      </c>
      <c r="S159" s="1512"/>
      <c r="T159" s="1513" t="str">
        <f t="shared" si="17"/>
        <v/>
      </c>
      <c r="U159" s="1512"/>
      <c r="V159" s="1512"/>
      <c r="W159" s="1638"/>
      <c r="X159" s="955"/>
      <c r="Y159" s="955"/>
      <c r="Z159" s="955"/>
      <c r="AA159" s="955"/>
      <c r="AB159" s="955"/>
      <c r="AC159" s="955"/>
      <c r="AD159" s="955"/>
      <c r="AE159" s="955"/>
      <c r="AF159" s="955"/>
      <c r="AG159" s="955"/>
      <c r="AH159" s="955"/>
      <c r="AI159" s="955"/>
      <c r="AJ159" s="955"/>
      <c r="AK159" s="955"/>
      <c r="AL159" s="955"/>
      <c r="AM159" s="955"/>
      <c r="AN159" s="955"/>
      <c r="AO159" s="955"/>
      <c r="AP159" s="955"/>
      <c r="AQ159" s="955"/>
      <c r="AR159" s="955"/>
      <c r="AS159" s="955"/>
    </row>
    <row r="160" spans="2:45" s="1514" customFormat="1" x14ac:dyDescent="0.2">
      <c r="B160" s="1640"/>
      <c r="C160" s="1517"/>
      <c r="D160" s="1516"/>
      <c r="E160" s="1518"/>
      <c r="F160" s="1510"/>
      <c r="G160" s="1510"/>
      <c r="H160" s="1510"/>
      <c r="I160" s="1512"/>
      <c r="J160" s="1512"/>
      <c r="K160" s="1635" t="str">
        <f t="shared" si="12"/>
        <v/>
      </c>
      <c r="L160" s="1633"/>
      <c r="M160" s="1512"/>
      <c r="N160" s="1513" t="str">
        <f t="shared" si="13"/>
        <v/>
      </c>
      <c r="O160" s="1682" t="str">
        <f t="shared" si="14"/>
        <v/>
      </c>
      <c r="P160" s="1512"/>
      <c r="Q160" s="1513" t="str">
        <f t="shared" si="15"/>
        <v/>
      </c>
      <c r="R160" s="1683" t="str">
        <f t="shared" si="16"/>
        <v/>
      </c>
      <c r="S160" s="1512"/>
      <c r="T160" s="1513" t="str">
        <f t="shared" si="17"/>
        <v/>
      </c>
      <c r="U160" s="1512"/>
      <c r="V160" s="1512"/>
      <c r="W160" s="1638"/>
      <c r="X160" s="955"/>
      <c r="Y160" s="955"/>
      <c r="Z160" s="955"/>
      <c r="AA160" s="955"/>
      <c r="AB160" s="955"/>
      <c r="AC160" s="955"/>
      <c r="AD160" s="955"/>
      <c r="AE160" s="955"/>
      <c r="AF160" s="955"/>
      <c r="AG160" s="955"/>
      <c r="AH160" s="955"/>
      <c r="AI160" s="955"/>
      <c r="AJ160" s="955"/>
      <c r="AK160" s="955"/>
      <c r="AL160" s="955"/>
      <c r="AM160" s="955"/>
      <c r="AN160" s="955"/>
      <c r="AO160" s="955"/>
      <c r="AP160" s="955"/>
      <c r="AQ160" s="955"/>
      <c r="AR160" s="955"/>
      <c r="AS160" s="955"/>
    </row>
    <row r="161" spans="2:45" s="1514" customFormat="1" x14ac:dyDescent="0.2">
      <c r="B161" s="1640"/>
      <c r="C161" s="1517"/>
      <c r="D161" s="1516"/>
      <c r="E161" s="1518"/>
      <c r="F161" s="1510"/>
      <c r="G161" s="1510"/>
      <c r="H161" s="1510"/>
      <c r="I161" s="1512"/>
      <c r="J161" s="1512"/>
      <c r="K161" s="1635" t="str">
        <f t="shared" si="12"/>
        <v/>
      </c>
      <c r="L161" s="1633"/>
      <c r="M161" s="1512"/>
      <c r="N161" s="1513" t="str">
        <f t="shared" si="13"/>
        <v/>
      </c>
      <c r="O161" s="1682" t="str">
        <f t="shared" si="14"/>
        <v/>
      </c>
      <c r="P161" s="1512"/>
      <c r="Q161" s="1513" t="str">
        <f t="shared" si="15"/>
        <v/>
      </c>
      <c r="R161" s="1683" t="str">
        <f t="shared" si="16"/>
        <v/>
      </c>
      <c r="S161" s="1512"/>
      <c r="T161" s="1513" t="str">
        <f t="shared" si="17"/>
        <v/>
      </c>
      <c r="U161" s="1512"/>
      <c r="V161" s="1512"/>
      <c r="W161" s="1638"/>
      <c r="X161" s="955"/>
      <c r="Y161" s="955"/>
      <c r="Z161" s="955"/>
      <c r="AA161" s="955"/>
      <c r="AB161" s="955"/>
      <c r="AC161" s="955"/>
      <c r="AD161" s="955"/>
      <c r="AE161" s="955"/>
      <c r="AF161" s="955"/>
      <c r="AG161" s="955"/>
      <c r="AH161" s="955"/>
      <c r="AI161" s="955"/>
      <c r="AJ161" s="955"/>
      <c r="AK161" s="955"/>
      <c r="AL161" s="955"/>
      <c r="AM161" s="955"/>
      <c r="AN161" s="955"/>
      <c r="AO161" s="955"/>
      <c r="AP161" s="955"/>
      <c r="AQ161" s="955"/>
      <c r="AR161" s="955"/>
      <c r="AS161" s="955"/>
    </row>
    <row r="162" spans="2:45" s="1514" customFormat="1" x14ac:dyDescent="0.2">
      <c r="B162" s="1640"/>
      <c r="C162" s="1517"/>
      <c r="D162" s="1516"/>
      <c r="E162" s="1518"/>
      <c r="F162" s="1510"/>
      <c r="G162" s="1510"/>
      <c r="H162" s="1510"/>
      <c r="I162" s="1512"/>
      <c r="J162" s="1512"/>
      <c r="K162" s="1635" t="str">
        <f t="shared" si="12"/>
        <v/>
      </c>
      <c r="L162" s="1633"/>
      <c r="M162" s="1512"/>
      <c r="N162" s="1513" t="str">
        <f t="shared" si="13"/>
        <v/>
      </c>
      <c r="O162" s="1682" t="str">
        <f t="shared" si="14"/>
        <v/>
      </c>
      <c r="P162" s="1512"/>
      <c r="Q162" s="1513" t="str">
        <f t="shared" si="15"/>
        <v/>
      </c>
      <c r="R162" s="1683" t="str">
        <f t="shared" si="16"/>
        <v/>
      </c>
      <c r="S162" s="1512"/>
      <c r="T162" s="1513" t="str">
        <f t="shared" si="17"/>
        <v/>
      </c>
      <c r="U162" s="1512"/>
      <c r="V162" s="1512"/>
      <c r="W162" s="1638"/>
      <c r="X162" s="955"/>
      <c r="Y162" s="955"/>
      <c r="Z162" s="955"/>
      <c r="AA162" s="955"/>
      <c r="AB162" s="955"/>
      <c r="AC162" s="955"/>
      <c r="AD162" s="955"/>
      <c r="AE162" s="955"/>
      <c r="AF162" s="955"/>
      <c r="AG162" s="955"/>
      <c r="AH162" s="955"/>
      <c r="AI162" s="955"/>
      <c r="AJ162" s="955"/>
      <c r="AK162" s="955"/>
      <c r="AL162" s="955"/>
      <c r="AM162" s="955"/>
      <c r="AN162" s="955"/>
      <c r="AO162" s="955"/>
      <c r="AP162" s="955"/>
      <c r="AQ162" s="955"/>
      <c r="AR162" s="955"/>
      <c r="AS162" s="955"/>
    </row>
    <row r="163" spans="2:45" s="1514" customFormat="1" x14ac:dyDescent="0.2">
      <c r="B163" s="1640"/>
      <c r="C163" s="1517"/>
      <c r="D163" s="1516"/>
      <c r="E163" s="1518"/>
      <c r="F163" s="1510"/>
      <c r="G163" s="1510"/>
      <c r="H163" s="1510"/>
      <c r="I163" s="1512"/>
      <c r="J163" s="1512"/>
      <c r="K163" s="1635" t="str">
        <f t="shared" si="12"/>
        <v/>
      </c>
      <c r="L163" s="1633"/>
      <c r="M163" s="1512"/>
      <c r="N163" s="1513" t="str">
        <f t="shared" si="13"/>
        <v/>
      </c>
      <c r="O163" s="1682" t="str">
        <f t="shared" si="14"/>
        <v/>
      </c>
      <c r="P163" s="1512"/>
      <c r="Q163" s="1513" t="str">
        <f t="shared" si="15"/>
        <v/>
      </c>
      <c r="R163" s="1683" t="str">
        <f t="shared" si="16"/>
        <v/>
      </c>
      <c r="S163" s="1512"/>
      <c r="T163" s="1513" t="str">
        <f t="shared" si="17"/>
        <v/>
      </c>
      <c r="U163" s="1512"/>
      <c r="V163" s="1512"/>
      <c r="W163" s="1638"/>
      <c r="X163" s="955"/>
      <c r="Y163" s="955"/>
      <c r="Z163" s="955"/>
      <c r="AA163" s="955"/>
      <c r="AB163" s="955"/>
      <c r="AC163" s="955"/>
      <c r="AD163" s="955"/>
      <c r="AE163" s="955"/>
      <c r="AF163" s="955"/>
      <c r="AG163" s="955"/>
      <c r="AH163" s="955"/>
      <c r="AI163" s="955"/>
      <c r="AJ163" s="955"/>
      <c r="AK163" s="955"/>
      <c r="AL163" s="955"/>
      <c r="AM163" s="955"/>
      <c r="AN163" s="955"/>
      <c r="AO163" s="955"/>
      <c r="AP163" s="955"/>
      <c r="AQ163" s="955"/>
      <c r="AR163" s="955"/>
      <c r="AS163" s="955"/>
    </row>
    <row r="164" spans="2:45" s="1514" customFormat="1" x14ac:dyDescent="0.2">
      <c r="B164" s="1640"/>
      <c r="C164" s="1517"/>
      <c r="D164" s="1516"/>
      <c r="E164" s="1518"/>
      <c r="F164" s="1510"/>
      <c r="G164" s="1510"/>
      <c r="H164" s="1510"/>
      <c r="I164" s="1512"/>
      <c r="J164" s="1512"/>
      <c r="K164" s="1635" t="str">
        <f t="shared" si="12"/>
        <v/>
      </c>
      <c r="L164" s="1633"/>
      <c r="M164" s="1512"/>
      <c r="N164" s="1513" t="str">
        <f t="shared" si="13"/>
        <v/>
      </c>
      <c r="O164" s="1682" t="str">
        <f t="shared" si="14"/>
        <v/>
      </c>
      <c r="P164" s="1512"/>
      <c r="Q164" s="1513" t="str">
        <f t="shared" si="15"/>
        <v/>
      </c>
      <c r="R164" s="1683" t="str">
        <f t="shared" si="16"/>
        <v/>
      </c>
      <c r="S164" s="1512"/>
      <c r="T164" s="1513" t="str">
        <f t="shared" si="17"/>
        <v/>
      </c>
      <c r="U164" s="1512"/>
      <c r="V164" s="1512"/>
      <c r="W164" s="1638"/>
      <c r="X164" s="955"/>
      <c r="Y164" s="955"/>
      <c r="Z164" s="955"/>
      <c r="AA164" s="955"/>
      <c r="AB164" s="955"/>
      <c r="AC164" s="955"/>
      <c r="AD164" s="955"/>
      <c r="AE164" s="955"/>
      <c r="AF164" s="955"/>
      <c r="AG164" s="955"/>
      <c r="AH164" s="955"/>
      <c r="AI164" s="955"/>
      <c r="AJ164" s="955"/>
      <c r="AK164" s="955"/>
      <c r="AL164" s="955"/>
      <c r="AM164" s="955"/>
      <c r="AN164" s="955"/>
      <c r="AO164" s="955"/>
      <c r="AP164" s="955"/>
      <c r="AQ164" s="955"/>
      <c r="AR164" s="955"/>
      <c r="AS164" s="955"/>
    </row>
    <row r="165" spans="2:45" s="1514" customFormat="1" x14ac:dyDescent="0.2">
      <c r="B165" s="1640"/>
      <c r="C165" s="1517"/>
      <c r="D165" s="1516"/>
      <c r="E165" s="1518"/>
      <c r="F165" s="1510"/>
      <c r="G165" s="1510"/>
      <c r="H165" s="1510"/>
      <c r="I165" s="1512"/>
      <c r="J165" s="1512"/>
      <c r="K165" s="1635" t="str">
        <f t="shared" si="12"/>
        <v/>
      </c>
      <c r="L165" s="1633"/>
      <c r="M165" s="1512"/>
      <c r="N165" s="1513" t="str">
        <f t="shared" si="13"/>
        <v/>
      </c>
      <c r="O165" s="1682" t="str">
        <f t="shared" si="14"/>
        <v/>
      </c>
      <c r="P165" s="1512"/>
      <c r="Q165" s="1513" t="str">
        <f t="shared" si="15"/>
        <v/>
      </c>
      <c r="R165" s="1683" t="str">
        <f t="shared" si="16"/>
        <v/>
      </c>
      <c r="S165" s="1512"/>
      <c r="T165" s="1513" t="str">
        <f t="shared" si="17"/>
        <v/>
      </c>
      <c r="U165" s="1512"/>
      <c r="V165" s="1512"/>
      <c r="W165" s="1638"/>
      <c r="X165" s="955"/>
      <c r="Y165" s="955"/>
      <c r="Z165" s="955"/>
      <c r="AA165" s="955"/>
      <c r="AB165" s="955"/>
      <c r="AC165" s="955"/>
      <c r="AD165" s="955"/>
      <c r="AE165" s="955"/>
      <c r="AF165" s="955"/>
      <c r="AG165" s="955"/>
      <c r="AH165" s="955"/>
      <c r="AI165" s="955"/>
      <c r="AJ165" s="955"/>
      <c r="AK165" s="955"/>
      <c r="AL165" s="955"/>
      <c r="AM165" s="955"/>
      <c r="AN165" s="955"/>
      <c r="AO165" s="955"/>
      <c r="AP165" s="955"/>
      <c r="AQ165" s="955"/>
      <c r="AR165" s="955"/>
      <c r="AS165" s="955"/>
    </row>
    <row r="166" spans="2:45" s="1514" customFormat="1" x14ac:dyDescent="0.2">
      <c r="B166" s="1640"/>
      <c r="C166" s="1517"/>
      <c r="D166" s="1516"/>
      <c r="E166" s="1518"/>
      <c r="F166" s="1510"/>
      <c r="G166" s="1510"/>
      <c r="H166" s="1510"/>
      <c r="I166" s="1512"/>
      <c r="J166" s="1512"/>
      <c r="K166" s="1635" t="str">
        <f t="shared" si="12"/>
        <v/>
      </c>
      <c r="L166" s="1633"/>
      <c r="M166" s="1512"/>
      <c r="N166" s="1513" t="str">
        <f t="shared" si="13"/>
        <v/>
      </c>
      <c r="O166" s="1682" t="str">
        <f t="shared" si="14"/>
        <v/>
      </c>
      <c r="P166" s="1512"/>
      <c r="Q166" s="1513" t="str">
        <f t="shared" si="15"/>
        <v/>
      </c>
      <c r="R166" s="1683" t="str">
        <f t="shared" si="16"/>
        <v/>
      </c>
      <c r="S166" s="1512"/>
      <c r="T166" s="1513" t="str">
        <f t="shared" si="17"/>
        <v/>
      </c>
      <c r="U166" s="1512"/>
      <c r="V166" s="1512"/>
      <c r="W166" s="1638"/>
      <c r="X166" s="955"/>
      <c r="Y166" s="955"/>
      <c r="Z166" s="955"/>
      <c r="AA166" s="955"/>
      <c r="AB166" s="955"/>
      <c r="AC166" s="955"/>
      <c r="AD166" s="955"/>
      <c r="AE166" s="955"/>
      <c r="AF166" s="955"/>
      <c r="AG166" s="955"/>
      <c r="AH166" s="955"/>
      <c r="AI166" s="955"/>
      <c r="AJ166" s="955"/>
      <c r="AK166" s="955"/>
      <c r="AL166" s="955"/>
      <c r="AM166" s="955"/>
      <c r="AN166" s="955"/>
      <c r="AO166" s="955"/>
      <c r="AP166" s="955"/>
      <c r="AQ166" s="955"/>
      <c r="AR166" s="955"/>
      <c r="AS166" s="955"/>
    </row>
    <row r="167" spans="2:45" s="1514" customFormat="1" x14ac:dyDescent="0.2">
      <c r="B167" s="1640"/>
      <c r="C167" s="1517"/>
      <c r="D167" s="1516"/>
      <c r="E167" s="1518"/>
      <c r="F167" s="1510"/>
      <c r="G167" s="1510"/>
      <c r="H167" s="1510"/>
      <c r="I167" s="1512"/>
      <c r="J167" s="1512"/>
      <c r="K167" s="1635" t="str">
        <f t="shared" si="12"/>
        <v/>
      </c>
      <c r="L167" s="1633"/>
      <c r="M167" s="1512"/>
      <c r="N167" s="1513" t="str">
        <f t="shared" si="13"/>
        <v/>
      </c>
      <c r="O167" s="1682" t="str">
        <f t="shared" si="14"/>
        <v/>
      </c>
      <c r="P167" s="1512"/>
      <c r="Q167" s="1513" t="str">
        <f t="shared" si="15"/>
        <v/>
      </c>
      <c r="R167" s="1683" t="str">
        <f t="shared" si="16"/>
        <v/>
      </c>
      <c r="S167" s="1512"/>
      <c r="T167" s="1513" t="str">
        <f t="shared" si="17"/>
        <v/>
      </c>
      <c r="U167" s="1512"/>
      <c r="V167" s="1512"/>
      <c r="W167" s="1638"/>
      <c r="X167" s="955"/>
      <c r="Y167" s="955"/>
      <c r="Z167" s="955"/>
      <c r="AA167" s="955"/>
      <c r="AB167" s="955"/>
      <c r="AC167" s="955"/>
      <c r="AD167" s="955"/>
      <c r="AE167" s="955"/>
      <c r="AF167" s="955"/>
      <c r="AG167" s="955"/>
      <c r="AH167" s="955"/>
      <c r="AI167" s="955"/>
      <c r="AJ167" s="955"/>
      <c r="AK167" s="955"/>
      <c r="AL167" s="955"/>
      <c r="AM167" s="955"/>
      <c r="AN167" s="955"/>
      <c r="AO167" s="955"/>
      <c r="AP167" s="955"/>
      <c r="AQ167" s="955"/>
      <c r="AR167" s="955"/>
      <c r="AS167" s="955"/>
    </row>
    <row r="168" spans="2:45" s="1514" customFormat="1" x14ac:dyDescent="0.2">
      <c r="B168" s="1640"/>
      <c r="C168" s="1517"/>
      <c r="D168" s="1516"/>
      <c r="E168" s="1518"/>
      <c r="F168" s="1510"/>
      <c r="G168" s="1510"/>
      <c r="H168" s="1510"/>
      <c r="I168" s="1512"/>
      <c r="J168" s="1512"/>
      <c r="K168" s="1635" t="str">
        <f t="shared" si="12"/>
        <v/>
      </c>
      <c r="L168" s="1633"/>
      <c r="M168" s="1512"/>
      <c r="N168" s="1513" t="str">
        <f t="shared" si="13"/>
        <v/>
      </c>
      <c r="O168" s="1682" t="str">
        <f t="shared" si="14"/>
        <v/>
      </c>
      <c r="P168" s="1512"/>
      <c r="Q168" s="1513" t="str">
        <f t="shared" si="15"/>
        <v/>
      </c>
      <c r="R168" s="1683" t="str">
        <f t="shared" si="16"/>
        <v/>
      </c>
      <c r="S168" s="1512"/>
      <c r="T168" s="1513" t="str">
        <f t="shared" si="17"/>
        <v/>
      </c>
      <c r="U168" s="1512"/>
      <c r="V168" s="1512"/>
      <c r="W168" s="1638"/>
      <c r="X168" s="955"/>
      <c r="Y168" s="955"/>
      <c r="Z168" s="955"/>
      <c r="AA168" s="955"/>
      <c r="AB168" s="955"/>
      <c r="AC168" s="955"/>
      <c r="AD168" s="955"/>
      <c r="AE168" s="955"/>
      <c r="AF168" s="955"/>
      <c r="AG168" s="955"/>
      <c r="AH168" s="955"/>
      <c r="AI168" s="955"/>
      <c r="AJ168" s="955"/>
      <c r="AK168" s="955"/>
      <c r="AL168" s="955"/>
      <c r="AM168" s="955"/>
      <c r="AN168" s="955"/>
      <c r="AO168" s="955"/>
      <c r="AP168" s="955"/>
      <c r="AQ168" s="955"/>
      <c r="AR168" s="955"/>
      <c r="AS168" s="955"/>
    </row>
    <row r="169" spans="2:45" s="1514" customFormat="1" x14ac:dyDescent="0.2">
      <c r="B169" s="1640"/>
      <c r="C169" s="1517"/>
      <c r="D169" s="1516"/>
      <c r="E169" s="1518"/>
      <c r="F169" s="1510"/>
      <c r="G169" s="1510"/>
      <c r="H169" s="1510"/>
      <c r="I169" s="1512"/>
      <c r="J169" s="1512"/>
      <c r="K169" s="1635" t="str">
        <f t="shared" si="12"/>
        <v/>
      </c>
      <c r="L169" s="1633"/>
      <c r="M169" s="1512"/>
      <c r="N169" s="1513" t="str">
        <f t="shared" si="13"/>
        <v/>
      </c>
      <c r="O169" s="1682" t="str">
        <f t="shared" si="14"/>
        <v/>
      </c>
      <c r="P169" s="1512"/>
      <c r="Q169" s="1513" t="str">
        <f t="shared" si="15"/>
        <v/>
      </c>
      <c r="R169" s="1683" t="str">
        <f t="shared" si="16"/>
        <v/>
      </c>
      <c r="S169" s="1512"/>
      <c r="T169" s="1513" t="str">
        <f t="shared" si="17"/>
        <v/>
      </c>
      <c r="U169" s="1512"/>
      <c r="V169" s="1512"/>
      <c r="W169" s="1638"/>
      <c r="X169" s="955"/>
      <c r="Y169" s="955"/>
      <c r="Z169" s="955"/>
      <c r="AA169" s="955"/>
      <c r="AB169" s="955"/>
      <c r="AC169" s="955"/>
      <c r="AD169" s="955"/>
      <c r="AE169" s="955"/>
      <c r="AF169" s="955"/>
      <c r="AG169" s="955"/>
      <c r="AH169" s="955"/>
      <c r="AI169" s="955"/>
      <c r="AJ169" s="955"/>
      <c r="AK169" s="955"/>
      <c r="AL169" s="955"/>
      <c r="AM169" s="955"/>
      <c r="AN169" s="955"/>
      <c r="AO169" s="955"/>
      <c r="AP169" s="955"/>
      <c r="AQ169" s="955"/>
      <c r="AR169" s="955"/>
      <c r="AS169" s="955"/>
    </row>
    <row r="170" spans="2:45" s="1514" customFormat="1" x14ac:dyDescent="0.2">
      <c r="B170" s="1640"/>
      <c r="C170" s="1517"/>
      <c r="D170" s="1516"/>
      <c r="E170" s="1518"/>
      <c r="F170" s="1510"/>
      <c r="G170" s="1510"/>
      <c r="H170" s="1510"/>
      <c r="I170" s="1512"/>
      <c r="J170" s="1512"/>
      <c r="K170" s="1635" t="str">
        <f t="shared" si="12"/>
        <v/>
      </c>
      <c r="L170" s="1633"/>
      <c r="M170" s="1512"/>
      <c r="N170" s="1513" t="str">
        <f t="shared" si="13"/>
        <v/>
      </c>
      <c r="O170" s="1682" t="str">
        <f t="shared" si="14"/>
        <v/>
      </c>
      <c r="P170" s="1512"/>
      <c r="Q170" s="1513" t="str">
        <f t="shared" si="15"/>
        <v/>
      </c>
      <c r="R170" s="1683" t="str">
        <f t="shared" si="16"/>
        <v/>
      </c>
      <c r="S170" s="1512"/>
      <c r="T170" s="1513" t="str">
        <f t="shared" si="17"/>
        <v/>
      </c>
      <c r="U170" s="1512"/>
      <c r="V170" s="1512"/>
      <c r="W170" s="1638"/>
      <c r="X170" s="955"/>
      <c r="Y170" s="955"/>
      <c r="Z170" s="955"/>
      <c r="AA170" s="955"/>
      <c r="AB170" s="955"/>
      <c r="AC170" s="955"/>
      <c r="AD170" s="955"/>
      <c r="AE170" s="955"/>
      <c r="AF170" s="955"/>
      <c r="AG170" s="955"/>
      <c r="AH170" s="955"/>
      <c r="AI170" s="955"/>
      <c r="AJ170" s="955"/>
      <c r="AK170" s="955"/>
      <c r="AL170" s="955"/>
      <c r="AM170" s="955"/>
      <c r="AN170" s="955"/>
      <c r="AO170" s="955"/>
      <c r="AP170" s="955"/>
      <c r="AQ170" s="955"/>
      <c r="AR170" s="955"/>
      <c r="AS170" s="955"/>
    </row>
    <row r="171" spans="2:45" s="1514" customFormat="1" x14ac:dyDescent="0.2">
      <c r="B171" s="1640"/>
      <c r="C171" s="1517"/>
      <c r="D171" s="1516"/>
      <c r="E171" s="1518"/>
      <c r="F171" s="1510"/>
      <c r="G171" s="1510"/>
      <c r="H171" s="1510"/>
      <c r="I171" s="1512"/>
      <c r="J171" s="1512"/>
      <c r="K171" s="1635" t="str">
        <f t="shared" si="12"/>
        <v/>
      </c>
      <c r="L171" s="1633"/>
      <c r="M171" s="1512"/>
      <c r="N171" s="1513" t="str">
        <f t="shared" si="13"/>
        <v/>
      </c>
      <c r="O171" s="1682" t="str">
        <f t="shared" si="14"/>
        <v/>
      </c>
      <c r="P171" s="1512"/>
      <c r="Q171" s="1513" t="str">
        <f t="shared" si="15"/>
        <v/>
      </c>
      <c r="R171" s="1683" t="str">
        <f t="shared" si="16"/>
        <v/>
      </c>
      <c r="S171" s="1512"/>
      <c r="T171" s="1513" t="str">
        <f t="shared" si="17"/>
        <v/>
      </c>
      <c r="U171" s="1512"/>
      <c r="V171" s="1512"/>
      <c r="W171" s="1638"/>
      <c r="X171" s="955"/>
      <c r="Y171" s="955"/>
      <c r="Z171" s="955"/>
      <c r="AA171" s="955"/>
      <c r="AB171" s="955"/>
      <c r="AC171" s="955"/>
      <c r="AD171" s="955"/>
      <c r="AE171" s="955"/>
      <c r="AF171" s="955"/>
      <c r="AG171" s="955"/>
      <c r="AH171" s="955"/>
      <c r="AI171" s="955"/>
      <c r="AJ171" s="955"/>
      <c r="AK171" s="955"/>
      <c r="AL171" s="955"/>
      <c r="AM171" s="955"/>
      <c r="AN171" s="955"/>
      <c r="AO171" s="955"/>
      <c r="AP171" s="955"/>
      <c r="AQ171" s="955"/>
      <c r="AR171" s="955"/>
      <c r="AS171" s="955"/>
    </row>
    <row r="172" spans="2:45" s="1514" customFormat="1" x14ac:dyDescent="0.2">
      <c r="B172" s="1640"/>
      <c r="C172" s="1517"/>
      <c r="D172" s="1516"/>
      <c r="E172" s="1518"/>
      <c r="F172" s="1510"/>
      <c r="G172" s="1510"/>
      <c r="H172" s="1510"/>
      <c r="I172" s="1512"/>
      <c r="J172" s="1512"/>
      <c r="K172" s="1635" t="str">
        <f t="shared" si="12"/>
        <v/>
      </c>
      <c r="L172" s="1633"/>
      <c r="M172" s="1512"/>
      <c r="N172" s="1513" t="str">
        <f t="shared" si="13"/>
        <v/>
      </c>
      <c r="O172" s="1682" t="str">
        <f t="shared" si="14"/>
        <v/>
      </c>
      <c r="P172" s="1512"/>
      <c r="Q172" s="1513" t="str">
        <f t="shared" si="15"/>
        <v/>
      </c>
      <c r="R172" s="1683" t="str">
        <f t="shared" si="16"/>
        <v/>
      </c>
      <c r="S172" s="1512"/>
      <c r="T172" s="1513" t="str">
        <f t="shared" si="17"/>
        <v/>
      </c>
      <c r="U172" s="1512"/>
      <c r="V172" s="1512"/>
      <c r="W172" s="1638"/>
      <c r="X172" s="955"/>
      <c r="Y172" s="955"/>
      <c r="Z172" s="955"/>
      <c r="AA172" s="955"/>
      <c r="AB172" s="955"/>
      <c r="AC172" s="955"/>
      <c r="AD172" s="955"/>
      <c r="AE172" s="955"/>
      <c r="AF172" s="955"/>
      <c r="AG172" s="955"/>
      <c r="AH172" s="955"/>
      <c r="AI172" s="955"/>
      <c r="AJ172" s="955"/>
      <c r="AK172" s="955"/>
      <c r="AL172" s="955"/>
      <c r="AM172" s="955"/>
      <c r="AN172" s="955"/>
      <c r="AO172" s="955"/>
      <c r="AP172" s="955"/>
      <c r="AQ172" s="955"/>
      <c r="AR172" s="955"/>
      <c r="AS172" s="955"/>
    </row>
    <row r="173" spans="2:45" s="1514" customFormat="1" x14ac:dyDescent="0.2">
      <c r="B173" s="1640"/>
      <c r="C173" s="1517"/>
      <c r="D173" s="1516"/>
      <c r="E173" s="1518"/>
      <c r="F173" s="1510"/>
      <c r="G173" s="1510"/>
      <c r="H173" s="1510"/>
      <c r="I173" s="1512"/>
      <c r="J173" s="1512"/>
      <c r="K173" s="1635" t="str">
        <f t="shared" si="12"/>
        <v/>
      </c>
      <c r="L173" s="1633"/>
      <c r="M173" s="1512"/>
      <c r="N173" s="1513" t="str">
        <f t="shared" si="13"/>
        <v/>
      </c>
      <c r="O173" s="1682" t="str">
        <f t="shared" si="14"/>
        <v/>
      </c>
      <c r="P173" s="1512"/>
      <c r="Q173" s="1513" t="str">
        <f t="shared" si="15"/>
        <v/>
      </c>
      <c r="R173" s="1683" t="str">
        <f t="shared" si="16"/>
        <v/>
      </c>
      <c r="S173" s="1512"/>
      <c r="T173" s="1513" t="str">
        <f t="shared" si="17"/>
        <v/>
      </c>
      <c r="U173" s="1512"/>
      <c r="V173" s="1512"/>
      <c r="W173" s="1638"/>
      <c r="X173" s="955"/>
      <c r="Y173" s="955"/>
      <c r="Z173" s="955"/>
      <c r="AA173" s="955"/>
      <c r="AB173" s="955"/>
      <c r="AC173" s="955"/>
      <c r="AD173" s="955"/>
      <c r="AE173" s="955"/>
      <c r="AF173" s="955"/>
      <c r="AG173" s="955"/>
      <c r="AH173" s="955"/>
      <c r="AI173" s="955"/>
      <c r="AJ173" s="955"/>
      <c r="AK173" s="955"/>
      <c r="AL173" s="955"/>
      <c r="AM173" s="955"/>
      <c r="AN173" s="955"/>
      <c r="AO173" s="955"/>
      <c r="AP173" s="955"/>
      <c r="AQ173" s="955"/>
      <c r="AR173" s="955"/>
      <c r="AS173" s="955"/>
    </row>
    <row r="174" spans="2:45" s="1514" customFormat="1" x14ac:dyDescent="0.2">
      <c r="B174" s="1640"/>
      <c r="C174" s="1517"/>
      <c r="D174" s="1516"/>
      <c r="E174" s="1518"/>
      <c r="F174" s="1510"/>
      <c r="G174" s="1510"/>
      <c r="H174" s="1510"/>
      <c r="I174" s="1512"/>
      <c r="J174" s="1512"/>
      <c r="K174" s="1635" t="str">
        <f t="shared" si="12"/>
        <v/>
      </c>
      <c r="L174" s="1633"/>
      <c r="M174" s="1512"/>
      <c r="N174" s="1513" t="str">
        <f t="shared" si="13"/>
        <v/>
      </c>
      <c r="O174" s="1682" t="str">
        <f t="shared" si="14"/>
        <v/>
      </c>
      <c r="P174" s="1512"/>
      <c r="Q174" s="1513" t="str">
        <f t="shared" si="15"/>
        <v/>
      </c>
      <c r="R174" s="1683" t="str">
        <f t="shared" si="16"/>
        <v/>
      </c>
      <c r="S174" s="1512"/>
      <c r="T174" s="1513" t="str">
        <f t="shared" si="17"/>
        <v/>
      </c>
      <c r="U174" s="1512"/>
      <c r="V174" s="1512"/>
      <c r="W174" s="1638"/>
      <c r="X174" s="955"/>
      <c r="Y174" s="955"/>
      <c r="Z174" s="955"/>
      <c r="AA174" s="955"/>
      <c r="AB174" s="955"/>
      <c r="AC174" s="955"/>
      <c r="AD174" s="955"/>
      <c r="AE174" s="955"/>
      <c r="AF174" s="955"/>
      <c r="AG174" s="955"/>
      <c r="AH174" s="955"/>
      <c r="AI174" s="955"/>
      <c r="AJ174" s="955"/>
      <c r="AK174" s="955"/>
      <c r="AL174" s="955"/>
      <c r="AM174" s="955"/>
      <c r="AN174" s="955"/>
      <c r="AO174" s="955"/>
      <c r="AP174" s="955"/>
      <c r="AQ174" s="955"/>
      <c r="AR174" s="955"/>
      <c r="AS174" s="955"/>
    </row>
    <row r="175" spans="2:45" s="1514" customFormat="1" x14ac:dyDescent="0.2">
      <c r="B175" s="1640"/>
      <c r="C175" s="1517"/>
      <c r="D175" s="1516"/>
      <c r="E175" s="1518"/>
      <c r="F175" s="1510"/>
      <c r="G175" s="1510"/>
      <c r="H175" s="1510"/>
      <c r="I175" s="1512"/>
      <c r="J175" s="1512"/>
      <c r="K175" s="1635" t="str">
        <f t="shared" si="12"/>
        <v/>
      </c>
      <c r="L175" s="1633"/>
      <c r="M175" s="1512"/>
      <c r="N175" s="1513" t="str">
        <f t="shared" si="13"/>
        <v/>
      </c>
      <c r="O175" s="1682" t="str">
        <f t="shared" si="14"/>
        <v/>
      </c>
      <c r="P175" s="1512"/>
      <c r="Q175" s="1513" t="str">
        <f t="shared" si="15"/>
        <v/>
      </c>
      <c r="R175" s="1683" t="str">
        <f t="shared" si="16"/>
        <v/>
      </c>
      <c r="S175" s="1512"/>
      <c r="T175" s="1513" t="str">
        <f t="shared" si="17"/>
        <v/>
      </c>
      <c r="U175" s="1512"/>
      <c r="V175" s="1512"/>
      <c r="W175" s="1638"/>
      <c r="X175" s="955"/>
      <c r="Y175" s="955"/>
      <c r="Z175" s="955"/>
      <c r="AA175" s="955"/>
      <c r="AB175" s="955"/>
      <c r="AC175" s="955"/>
      <c r="AD175" s="955"/>
      <c r="AE175" s="955"/>
      <c r="AF175" s="955"/>
      <c r="AG175" s="955"/>
      <c r="AH175" s="955"/>
      <c r="AI175" s="955"/>
      <c r="AJ175" s="955"/>
      <c r="AK175" s="955"/>
      <c r="AL175" s="955"/>
      <c r="AM175" s="955"/>
      <c r="AN175" s="955"/>
      <c r="AO175" s="955"/>
      <c r="AP175" s="955"/>
      <c r="AQ175" s="955"/>
      <c r="AR175" s="955"/>
      <c r="AS175" s="955"/>
    </row>
    <row r="176" spans="2:45" s="1514" customFormat="1" x14ac:dyDescent="0.2">
      <c r="B176" s="1640"/>
      <c r="C176" s="1517"/>
      <c r="D176" s="1516"/>
      <c r="E176" s="1518"/>
      <c r="F176" s="1510"/>
      <c r="G176" s="1510"/>
      <c r="H176" s="1510"/>
      <c r="I176" s="1512"/>
      <c r="J176" s="1512"/>
      <c r="K176" s="1635" t="str">
        <f t="shared" si="12"/>
        <v/>
      </c>
      <c r="L176" s="1633"/>
      <c r="M176" s="1512"/>
      <c r="N176" s="1513" t="str">
        <f t="shared" si="13"/>
        <v/>
      </c>
      <c r="O176" s="1682" t="str">
        <f t="shared" si="14"/>
        <v/>
      </c>
      <c r="P176" s="1512"/>
      <c r="Q176" s="1513" t="str">
        <f t="shared" si="15"/>
        <v/>
      </c>
      <c r="R176" s="1683" t="str">
        <f t="shared" si="16"/>
        <v/>
      </c>
      <c r="S176" s="1512"/>
      <c r="T176" s="1513" t="str">
        <f t="shared" si="17"/>
        <v/>
      </c>
      <c r="U176" s="1512"/>
      <c r="V176" s="1512"/>
      <c r="W176" s="1638"/>
      <c r="X176" s="955"/>
      <c r="Y176" s="955"/>
      <c r="Z176" s="955"/>
      <c r="AA176" s="955"/>
      <c r="AB176" s="955"/>
      <c r="AC176" s="955"/>
      <c r="AD176" s="955"/>
      <c r="AE176" s="955"/>
      <c r="AF176" s="955"/>
      <c r="AG176" s="955"/>
      <c r="AH176" s="955"/>
      <c r="AI176" s="955"/>
      <c r="AJ176" s="955"/>
      <c r="AK176" s="955"/>
      <c r="AL176" s="955"/>
      <c r="AM176" s="955"/>
      <c r="AN176" s="955"/>
      <c r="AO176" s="955"/>
      <c r="AP176" s="955"/>
      <c r="AQ176" s="955"/>
      <c r="AR176" s="955"/>
      <c r="AS176" s="955"/>
    </row>
    <row r="177" spans="2:45" s="1514" customFormat="1" x14ac:dyDescent="0.2">
      <c r="B177" s="1640"/>
      <c r="C177" s="1517"/>
      <c r="D177" s="1516"/>
      <c r="E177" s="1518"/>
      <c r="F177" s="1510"/>
      <c r="G177" s="1510"/>
      <c r="H177" s="1510"/>
      <c r="I177" s="1512"/>
      <c r="J177" s="1512"/>
      <c r="K177" s="1635" t="str">
        <f t="shared" si="12"/>
        <v/>
      </c>
      <c r="L177" s="1633"/>
      <c r="M177" s="1512"/>
      <c r="N177" s="1513" t="str">
        <f t="shared" si="13"/>
        <v/>
      </c>
      <c r="O177" s="1682" t="str">
        <f t="shared" si="14"/>
        <v/>
      </c>
      <c r="P177" s="1512"/>
      <c r="Q177" s="1513" t="str">
        <f t="shared" si="15"/>
        <v/>
      </c>
      <c r="R177" s="1683" t="str">
        <f t="shared" si="16"/>
        <v/>
      </c>
      <c r="S177" s="1512"/>
      <c r="T177" s="1513" t="str">
        <f t="shared" si="17"/>
        <v/>
      </c>
      <c r="U177" s="1512"/>
      <c r="V177" s="1512"/>
      <c r="W177" s="1638"/>
      <c r="X177" s="955"/>
      <c r="Y177" s="955"/>
      <c r="Z177" s="955"/>
      <c r="AA177" s="955"/>
      <c r="AB177" s="955"/>
      <c r="AC177" s="955"/>
      <c r="AD177" s="955"/>
      <c r="AE177" s="955"/>
      <c r="AF177" s="955"/>
      <c r="AG177" s="955"/>
      <c r="AH177" s="955"/>
      <c r="AI177" s="955"/>
      <c r="AJ177" s="955"/>
      <c r="AK177" s="955"/>
      <c r="AL177" s="955"/>
      <c r="AM177" s="955"/>
      <c r="AN177" s="955"/>
      <c r="AO177" s="955"/>
      <c r="AP177" s="955"/>
      <c r="AQ177" s="955"/>
      <c r="AR177" s="955"/>
      <c r="AS177" s="955"/>
    </row>
    <row r="178" spans="2:45" s="1514" customFormat="1" x14ac:dyDescent="0.2">
      <c r="B178" s="1640"/>
      <c r="C178" s="1517"/>
      <c r="D178" s="1516"/>
      <c r="E178" s="1518"/>
      <c r="F178" s="1510"/>
      <c r="G178" s="1510"/>
      <c r="H178" s="1510"/>
      <c r="I178" s="1512"/>
      <c r="J178" s="1512"/>
      <c r="K178" s="1635" t="str">
        <f t="shared" si="12"/>
        <v/>
      </c>
      <c r="L178" s="1633"/>
      <c r="M178" s="1512"/>
      <c r="N178" s="1513" t="str">
        <f t="shared" si="13"/>
        <v/>
      </c>
      <c r="O178" s="1682" t="str">
        <f t="shared" si="14"/>
        <v/>
      </c>
      <c r="P178" s="1512"/>
      <c r="Q178" s="1513" t="str">
        <f t="shared" si="15"/>
        <v/>
      </c>
      <c r="R178" s="1683" t="str">
        <f t="shared" si="16"/>
        <v/>
      </c>
      <c r="S178" s="1512"/>
      <c r="T178" s="1513" t="str">
        <f t="shared" si="17"/>
        <v/>
      </c>
      <c r="U178" s="1512"/>
      <c r="V178" s="1512"/>
      <c r="W178" s="1638"/>
      <c r="X178" s="955"/>
      <c r="Y178" s="955"/>
      <c r="Z178" s="955"/>
      <c r="AA178" s="955"/>
      <c r="AB178" s="955"/>
      <c r="AC178" s="955"/>
      <c r="AD178" s="955"/>
      <c r="AE178" s="955"/>
      <c r="AF178" s="955"/>
      <c r="AG178" s="955"/>
      <c r="AH178" s="955"/>
      <c r="AI178" s="955"/>
      <c r="AJ178" s="955"/>
      <c r="AK178" s="955"/>
      <c r="AL178" s="955"/>
      <c r="AM178" s="955"/>
      <c r="AN178" s="955"/>
      <c r="AO178" s="955"/>
      <c r="AP178" s="955"/>
      <c r="AQ178" s="955"/>
      <c r="AR178" s="955"/>
      <c r="AS178" s="955"/>
    </row>
    <row r="179" spans="2:45" s="1514" customFormat="1" x14ac:dyDescent="0.2">
      <c r="B179" s="1640"/>
      <c r="C179" s="1517"/>
      <c r="D179" s="1516"/>
      <c r="E179" s="1518"/>
      <c r="F179" s="1510"/>
      <c r="G179" s="1510"/>
      <c r="H179" s="1510"/>
      <c r="I179" s="1512"/>
      <c r="J179" s="1512"/>
      <c r="K179" s="1635" t="str">
        <f t="shared" si="12"/>
        <v/>
      </c>
      <c r="L179" s="1633"/>
      <c r="M179" s="1512"/>
      <c r="N179" s="1513" t="str">
        <f t="shared" si="13"/>
        <v/>
      </c>
      <c r="O179" s="1682" t="str">
        <f t="shared" si="14"/>
        <v/>
      </c>
      <c r="P179" s="1512"/>
      <c r="Q179" s="1513" t="str">
        <f t="shared" si="15"/>
        <v/>
      </c>
      <c r="R179" s="1683" t="str">
        <f t="shared" si="16"/>
        <v/>
      </c>
      <c r="S179" s="1512"/>
      <c r="T179" s="1513" t="str">
        <f t="shared" si="17"/>
        <v/>
      </c>
      <c r="U179" s="1512"/>
      <c r="V179" s="1512"/>
      <c r="W179" s="1638"/>
      <c r="X179" s="955"/>
      <c r="Y179" s="955"/>
      <c r="Z179" s="955"/>
      <c r="AA179" s="955"/>
      <c r="AB179" s="955"/>
      <c r="AC179" s="955"/>
      <c r="AD179" s="955"/>
      <c r="AE179" s="955"/>
      <c r="AF179" s="955"/>
      <c r="AG179" s="955"/>
      <c r="AH179" s="955"/>
      <c r="AI179" s="955"/>
      <c r="AJ179" s="955"/>
      <c r="AK179" s="955"/>
      <c r="AL179" s="955"/>
      <c r="AM179" s="955"/>
      <c r="AN179" s="955"/>
      <c r="AO179" s="955"/>
      <c r="AP179" s="955"/>
      <c r="AQ179" s="955"/>
      <c r="AR179" s="955"/>
      <c r="AS179" s="955"/>
    </row>
    <row r="180" spans="2:45" s="1514" customFormat="1" x14ac:dyDescent="0.2">
      <c r="B180" s="1640"/>
      <c r="C180" s="1517"/>
      <c r="D180" s="1516"/>
      <c r="E180" s="1518"/>
      <c r="F180" s="1510"/>
      <c r="G180" s="1510"/>
      <c r="H180" s="1510"/>
      <c r="I180" s="1512"/>
      <c r="J180" s="1512"/>
      <c r="K180" s="1635" t="str">
        <f t="shared" si="12"/>
        <v/>
      </c>
      <c r="L180" s="1633"/>
      <c r="M180" s="1512"/>
      <c r="N180" s="1513" t="str">
        <f t="shared" si="13"/>
        <v/>
      </c>
      <c r="O180" s="1682" t="str">
        <f t="shared" si="14"/>
        <v/>
      </c>
      <c r="P180" s="1512"/>
      <c r="Q180" s="1513" t="str">
        <f t="shared" si="15"/>
        <v/>
      </c>
      <c r="R180" s="1683" t="str">
        <f t="shared" si="16"/>
        <v/>
      </c>
      <c r="S180" s="1512"/>
      <c r="T180" s="1513" t="str">
        <f t="shared" si="17"/>
        <v/>
      </c>
      <c r="U180" s="1512"/>
      <c r="V180" s="1512"/>
      <c r="W180" s="1638"/>
      <c r="X180" s="955"/>
      <c r="Y180" s="955"/>
      <c r="Z180" s="955"/>
      <c r="AA180" s="955"/>
      <c r="AB180" s="955"/>
      <c r="AC180" s="955"/>
      <c r="AD180" s="955"/>
      <c r="AE180" s="955"/>
      <c r="AF180" s="955"/>
      <c r="AG180" s="955"/>
      <c r="AH180" s="955"/>
      <c r="AI180" s="955"/>
      <c r="AJ180" s="955"/>
      <c r="AK180" s="955"/>
      <c r="AL180" s="955"/>
      <c r="AM180" s="955"/>
      <c r="AN180" s="955"/>
      <c r="AO180" s="955"/>
      <c r="AP180" s="955"/>
      <c r="AQ180" s="955"/>
      <c r="AR180" s="955"/>
      <c r="AS180" s="955"/>
    </row>
    <row r="181" spans="2:45" s="1514" customFormat="1" x14ac:dyDescent="0.2">
      <c r="B181" s="1640"/>
      <c r="C181" s="1517"/>
      <c r="D181" s="1516"/>
      <c r="E181" s="1518"/>
      <c r="F181" s="1510"/>
      <c r="G181" s="1510"/>
      <c r="H181" s="1510"/>
      <c r="I181" s="1512"/>
      <c r="J181" s="1512"/>
      <c r="K181" s="1635" t="str">
        <f t="shared" si="12"/>
        <v/>
      </c>
      <c r="L181" s="1633"/>
      <c r="M181" s="1512"/>
      <c r="N181" s="1513" t="str">
        <f t="shared" si="13"/>
        <v/>
      </c>
      <c r="O181" s="1682" t="str">
        <f t="shared" si="14"/>
        <v/>
      </c>
      <c r="P181" s="1512"/>
      <c r="Q181" s="1513" t="str">
        <f t="shared" si="15"/>
        <v/>
      </c>
      <c r="R181" s="1683" t="str">
        <f t="shared" si="16"/>
        <v/>
      </c>
      <c r="S181" s="1512"/>
      <c r="T181" s="1513" t="str">
        <f t="shared" si="17"/>
        <v/>
      </c>
      <c r="U181" s="1512"/>
      <c r="V181" s="1512"/>
      <c r="W181" s="1638"/>
      <c r="X181" s="955"/>
      <c r="Y181" s="955"/>
      <c r="Z181" s="955"/>
      <c r="AA181" s="955"/>
      <c r="AB181" s="955"/>
      <c r="AC181" s="955"/>
      <c r="AD181" s="955"/>
      <c r="AE181" s="955"/>
      <c r="AF181" s="955"/>
      <c r="AG181" s="955"/>
      <c r="AH181" s="955"/>
      <c r="AI181" s="955"/>
      <c r="AJ181" s="955"/>
      <c r="AK181" s="955"/>
      <c r="AL181" s="955"/>
      <c r="AM181" s="955"/>
      <c r="AN181" s="955"/>
      <c r="AO181" s="955"/>
      <c r="AP181" s="955"/>
      <c r="AQ181" s="955"/>
      <c r="AR181" s="955"/>
      <c r="AS181" s="955"/>
    </row>
    <row r="182" spans="2:45" s="1514" customFormat="1" x14ac:dyDescent="0.2">
      <c r="B182" s="1640"/>
      <c r="C182" s="1517"/>
      <c r="D182" s="1516"/>
      <c r="E182" s="1518"/>
      <c r="F182" s="1510"/>
      <c r="G182" s="1510"/>
      <c r="H182" s="1510"/>
      <c r="I182" s="1512"/>
      <c r="J182" s="1512"/>
      <c r="K182" s="1635" t="str">
        <f t="shared" si="12"/>
        <v/>
      </c>
      <c r="L182" s="1633"/>
      <c r="M182" s="1512"/>
      <c r="N182" s="1513" t="str">
        <f t="shared" si="13"/>
        <v/>
      </c>
      <c r="O182" s="1682" t="str">
        <f t="shared" si="14"/>
        <v/>
      </c>
      <c r="P182" s="1512"/>
      <c r="Q182" s="1513" t="str">
        <f t="shared" si="15"/>
        <v/>
      </c>
      <c r="R182" s="1683" t="str">
        <f t="shared" si="16"/>
        <v/>
      </c>
      <c r="S182" s="1512"/>
      <c r="T182" s="1513" t="str">
        <f t="shared" si="17"/>
        <v/>
      </c>
      <c r="U182" s="1512"/>
      <c r="V182" s="1512"/>
      <c r="W182" s="1638"/>
      <c r="X182" s="955"/>
      <c r="Y182" s="955"/>
      <c r="Z182" s="955"/>
      <c r="AA182" s="955"/>
      <c r="AB182" s="955"/>
      <c r="AC182" s="955"/>
      <c r="AD182" s="955"/>
      <c r="AE182" s="955"/>
      <c r="AF182" s="955"/>
      <c r="AG182" s="955"/>
      <c r="AH182" s="955"/>
      <c r="AI182" s="955"/>
      <c r="AJ182" s="955"/>
      <c r="AK182" s="955"/>
      <c r="AL182" s="955"/>
      <c r="AM182" s="955"/>
      <c r="AN182" s="955"/>
      <c r="AO182" s="955"/>
      <c r="AP182" s="955"/>
      <c r="AQ182" s="955"/>
      <c r="AR182" s="955"/>
      <c r="AS182" s="955"/>
    </row>
    <row r="183" spans="2:45" s="1514" customFormat="1" x14ac:dyDescent="0.2">
      <c r="B183" s="1640"/>
      <c r="C183" s="1517"/>
      <c r="D183" s="1516"/>
      <c r="E183" s="1518"/>
      <c r="F183" s="1510"/>
      <c r="G183" s="1510"/>
      <c r="H183" s="1510"/>
      <c r="I183" s="1512"/>
      <c r="J183" s="1512"/>
      <c r="K183" s="1635" t="str">
        <f t="shared" si="12"/>
        <v/>
      </c>
      <c r="L183" s="1633"/>
      <c r="M183" s="1512"/>
      <c r="N183" s="1513" t="str">
        <f t="shared" si="13"/>
        <v/>
      </c>
      <c r="O183" s="1682" t="str">
        <f t="shared" si="14"/>
        <v/>
      </c>
      <c r="P183" s="1512"/>
      <c r="Q183" s="1513" t="str">
        <f t="shared" si="15"/>
        <v/>
      </c>
      <c r="R183" s="1683" t="str">
        <f t="shared" si="16"/>
        <v/>
      </c>
      <c r="S183" s="1512"/>
      <c r="T183" s="1513" t="str">
        <f t="shared" si="17"/>
        <v/>
      </c>
      <c r="U183" s="1512"/>
      <c r="V183" s="1512"/>
      <c r="W183" s="1638"/>
      <c r="X183" s="955"/>
      <c r="Y183" s="955"/>
      <c r="Z183" s="955"/>
      <c r="AA183" s="955"/>
      <c r="AB183" s="955"/>
      <c r="AC183" s="955"/>
      <c r="AD183" s="955"/>
      <c r="AE183" s="955"/>
      <c r="AF183" s="955"/>
      <c r="AG183" s="955"/>
      <c r="AH183" s="955"/>
      <c r="AI183" s="955"/>
      <c r="AJ183" s="955"/>
      <c r="AK183" s="955"/>
      <c r="AL183" s="955"/>
      <c r="AM183" s="955"/>
      <c r="AN183" s="955"/>
      <c r="AO183" s="955"/>
      <c r="AP183" s="955"/>
      <c r="AQ183" s="955"/>
      <c r="AR183" s="955"/>
      <c r="AS183" s="955"/>
    </row>
    <row r="184" spans="2:45" s="1514" customFormat="1" x14ac:dyDescent="0.2">
      <c r="B184" s="1640"/>
      <c r="C184" s="1517"/>
      <c r="D184" s="1516"/>
      <c r="E184" s="1518"/>
      <c r="F184" s="1510"/>
      <c r="G184" s="1510"/>
      <c r="H184" s="1510"/>
      <c r="I184" s="1512"/>
      <c r="J184" s="1512"/>
      <c r="K184" s="1635" t="str">
        <f t="shared" si="12"/>
        <v/>
      </c>
      <c r="L184" s="1633"/>
      <c r="M184" s="1512"/>
      <c r="N184" s="1513" t="str">
        <f t="shared" si="13"/>
        <v/>
      </c>
      <c r="O184" s="1682" t="str">
        <f t="shared" si="14"/>
        <v/>
      </c>
      <c r="P184" s="1512"/>
      <c r="Q184" s="1513" t="str">
        <f t="shared" si="15"/>
        <v/>
      </c>
      <c r="R184" s="1683" t="str">
        <f t="shared" si="16"/>
        <v/>
      </c>
      <c r="S184" s="1512"/>
      <c r="T184" s="1513" t="str">
        <f t="shared" si="17"/>
        <v/>
      </c>
      <c r="U184" s="1512"/>
      <c r="V184" s="1512"/>
      <c r="W184" s="1638"/>
      <c r="X184" s="955"/>
      <c r="Y184" s="955"/>
      <c r="Z184" s="955"/>
      <c r="AA184" s="955"/>
      <c r="AB184" s="955"/>
      <c r="AC184" s="955"/>
      <c r="AD184" s="955"/>
      <c r="AE184" s="955"/>
      <c r="AF184" s="955"/>
      <c r="AG184" s="955"/>
      <c r="AH184" s="955"/>
      <c r="AI184" s="955"/>
      <c r="AJ184" s="955"/>
      <c r="AK184" s="955"/>
      <c r="AL184" s="955"/>
      <c r="AM184" s="955"/>
      <c r="AN184" s="955"/>
      <c r="AO184" s="955"/>
      <c r="AP184" s="955"/>
      <c r="AQ184" s="955"/>
      <c r="AR184" s="955"/>
      <c r="AS184" s="955"/>
    </row>
    <row r="185" spans="2:45" s="1514" customFormat="1" x14ac:dyDescent="0.2">
      <c r="B185" s="1640"/>
      <c r="C185" s="1517"/>
      <c r="D185" s="1516"/>
      <c r="E185" s="1518"/>
      <c r="F185" s="1510"/>
      <c r="G185" s="1510"/>
      <c r="H185" s="1510"/>
      <c r="I185" s="1512"/>
      <c r="J185" s="1512"/>
      <c r="K185" s="1635" t="str">
        <f t="shared" si="12"/>
        <v/>
      </c>
      <c r="L185" s="1633"/>
      <c r="M185" s="1512"/>
      <c r="N185" s="1513" t="str">
        <f t="shared" si="13"/>
        <v/>
      </c>
      <c r="O185" s="1682" t="str">
        <f t="shared" si="14"/>
        <v/>
      </c>
      <c r="P185" s="1512"/>
      <c r="Q185" s="1513" t="str">
        <f t="shared" si="15"/>
        <v/>
      </c>
      <c r="R185" s="1683" t="str">
        <f t="shared" si="16"/>
        <v/>
      </c>
      <c r="S185" s="1512"/>
      <c r="T185" s="1513" t="str">
        <f t="shared" si="17"/>
        <v/>
      </c>
      <c r="U185" s="1512"/>
      <c r="V185" s="1512"/>
      <c r="W185" s="1638"/>
      <c r="X185" s="955"/>
      <c r="Y185" s="955"/>
      <c r="Z185" s="955"/>
      <c r="AA185" s="955"/>
      <c r="AB185" s="955"/>
      <c r="AC185" s="955"/>
      <c r="AD185" s="955"/>
      <c r="AE185" s="955"/>
      <c r="AF185" s="955"/>
      <c r="AG185" s="955"/>
      <c r="AH185" s="955"/>
      <c r="AI185" s="955"/>
      <c r="AJ185" s="955"/>
      <c r="AK185" s="955"/>
      <c r="AL185" s="955"/>
      <c r="AM185" s="955"/>
      <c r="AN185" s="955"/>
      <c r="AO185" s="955"/>
      <c r="AP185" s="955"/>
      <c r="AQ185" s="955"/>
      <c r="AR185" s="955"/>
      <c r="AS185" s="955"/>
    </row>
    <row r="186" spans="2:45" s="1514" customFormat="1" x14ac:dyDescent="0.2">
      <c r="B186" s="1640"/>
      <c r="C186" s="1517"/>
      <c r="D186" s="1516"/>
      <c r="E186" s="1518"/>
      <c r="F186" s="1510"/>
      <c r="G186" s="1510"/>
      <c r="H186" s="1510"/>
      <c r="I186" s="1512"/>
      <c r="J186" s="1512"/>
      <c r="K186" s="1635" t="str">
        <f t="shared" si="12"/>
        <v/>
      </c>
      <c r="L186" s="1633"/>
      <c r="M186" s="1512"/>
      <c r="N186" s="1513" t="str">
        <f t="shared" si="13"/>
        <v/>
      </c>
      <c r="O186" s="1682" t="str">
        <f t="shared" si="14"/>
        <v/>
      </c>
      <c r="P186" s="1512"/>
      <c r="Q186" s="1513" t="str">
        <f t="shared" si="15"/>
        <v/>
      </c>
      <c r="R186" s="1683" t="str">
        <f t="shared" si="16"/>
        <v/>
      </c>
      <c r="S186" s="1512"/>
      <c r="T186" s="1513" t="str">
        <f t="shared" si="17"/>
        <v/>
      </c>
      <c r="U186" s="1512"/>
      <c r="V186" s="1512"/>
      <c r="W186" s="1638"/>
      <c r="X186" s="955"/>
      <c r="Y186" s="955"/>
      <c r="Z186" s="955"/>
      <c r="AA186" s="955"/>
      <c r="AB186" s="955"/>
      <c r="AC186" s="955"/>
      <c r="AD186" s="955"/>
      <c r="AE186" s="955"/>
      <c r="AF186" s="955"/>
      <c r="AG186" s="955"/>
      <c r="AH186" s="955"/>
      <c r="AI186" s="955"/>
      <c r="AJ186" s="955"/>
      <c r="AK186" s="955"/>
      <c r="AL186" s="955"/>
      <c r="AM186" s="955"/>
      <c r="AN186" s="955"/>
      <c r="AO186" s="955"/>
      <c r="AP186" s="955"/>
      <c r="AQ186" s="955"/>
      <c r="AR186" s="955"/>
      <c r="AS186" s="955"/>
    </row>
    <row r="187" spans="2:45" s="1514" customFormat="1" x14ac:dyDescent="0.2">
      <c r="B187" s="1640"/>
      <c r="C187" s="1517"/>
      <c r="D187" s="1516"/>
      <c r="E187" s="1518"/>
      <c r="F187" s="1510"/>
      <c r="G187" s="1510"/>
      <c r="H187" s="1510"/>
      <c r="I187" s="1512"/>
      <c r="J187" s="1512"/>
      <c r="K187" s="1635" t="str">
        <f t="shared" si="12"/>
        <v/>
      </c>
      <c r="L187" s="1633"/>
      <c r="M187" s="1512"/>
      <c r="N187" s="1513" t="str">
        <f t="shared" si="13"/>
        <v/>
      </c>
      <c r="O187" s="1682" t="str">
        <f t="shared" si="14"/>
        <v/>
      </c>
      <c r="P187" s="1512"/>
      <c r="Q187" s="1513" t="str">
        <f t="shared" si="15"/>
        <v/>
      </c>
      <c r="R187" s="1683" t="str">
        <f t="shared" si="16"/>
        <v/>
      </c>
      <c r="S187" s="1512"/>
      <c r="T187" s="1513" t="str">
        <f t="shared" si="17"/>
        <v/>
      </c>
      <c r="U187" s="1512"/>
      <c r="V187" s="1512"/>
      <c r="W187" s="1638"/>
      <c r="X187" s="955"/>
      <c r="Y187" s="955"/>
      <c r="Z187" s="955"/>
      <c r="AA187" s="955"/>
      <c r="AB187" s="955"/>
      <c r="AC187" s="955"/>
      <c r="AD187" s="955"/>
      <c r="AE187" s="955"/>
      <c r="AF187" s="955"/>
      <c r="AG187" s="955"/>
      <c r="AH187" s="955"/>
      <c r="AI187" s="955"/>
      <c r="AJ187" s="955"/>
      <c r="AK187" s="955"/>
      <c r="AL187" s="955"/>
      <c r="AM187" s="955"/>
      <c r="AN187" s="955"/>
      <c r="AO187" s="955"/>
      <c r="AP187" s="955"/>
      <c r="AQ187" s="955"/>
      <c r="AR187" s="955"/>
      <c r="AS187" s="955"/>
    </row>
    <row r="188" spans="2:45" s="1514" customFormat="1" x14ac:dyDescent="0.2">
      <c r="B188" s="1640"/>
      <c r="C188" s="1517"/>
      <c r="D188" s="1516"/>
      <c r="E188" s="1518"/>
      <c r="F188" s="1510"/>
      <c r="G188" s="1510"/>
      <c r="H188" s="1510"/>
      <c r="I188" s="1512"/>
      <c r="J188" s="1512"/>
      <c r="K188" s="1635" t="str">
        <f t="shared" si="12"/>
        <v/>
      </c>
      <c r="L188" s="1633"/>
      <c r="M188" s="1512"/>
      <c r="N188" s="1513" t="str">
        <f t="shared" si="13"/>
        <v/>
      </c>
      <c r="O188" s="1682" t="str">
        <f t="shared" si="14"/>
        <v/>
      </c>
      <c r="P188" s="1512"/>
      <c r="Q188" s="1513" t="str">
        <f t="shared" si="15"/>
        <v/>
      </c>
      <c r="R188" s="1683" t="str">
        <f t="shared" si="16"/>
        <v/>
      </c>
      <c r="S188" s="1512"/>
      <c r="T188" s="1513" t="str">
        <f t="shared" si="17"/>
        <v/>
      </c>
      <c r="U188" s="1512"/>
      <c r="V188" s="1512"/>
      <c r="W188" s="1638"/>
      <c r="X188" s="955"/>
      <c r="Y188" s="955"/>
      <c r="Z188" s="955"/>
      <c r="AA188" s="955"/>
      <c r="AB188" s="955"/>
      <c r="AC188" s="955"/>
      <c r="AD188" s="955"/>
      <c r="AE188" s="955"/>
      <c r="AF188" s="955"/>
      <c r="AG188" s="955"/>
      <c r="AH188" s="955"/>
      <c r="AI188" s="955"/>
      <c r="AJ188" s="955"/>
      <c r="AK188" s="955"/>
      <c r="AL188" s="955"/>
      <c r="AM188" s="955"/>
      <c r="AN188" s="955"/>
      <c r="AO188" s="955"/>
      <c r="AP188" s="955"/>
      <c r="AQ188" s="955"/>
      <c r="AR188" s="955"/>
      <c r="AS188" s="955"/>
    </row>
    <row r="189" spans="2:45" s="1514" customFormat="1" x14ac:dyDescent="0.2">
      <c r="B189" s="1640"/>
      <c r="C189" s="1517"/>
      <c r="D189" s="1516"/>
      <c r="E189" s="1518"/>
      <c r="F189" s="1510"/>
      <c r="G189" s="1510"/>
      <c r="H189" s="1510"/>
      <c r="I189" s="1512"/>
      <c r="J189" s="1512"/>
      <c r="K189" s="1635" t="str">
        <f t="shared" si="12"/>
        <v/>
      </c>
      <c r="L189" s="1633"/>
      <c r="M189" s="1512"/>
      <c r="N189" s="1513" t="str">
        <f t="shared" si="13"/>
        <v/>
      </c>
      <c r="O189" s="1682" t="str">
        <f t="shared" si="14"/>
        <v/>
      </c>
      <c r="P189" s="1512"/>
      <c r="Q189" s="1513" t="str">
        <f t="shared" si="15"/>
        <v/>
      </c>
      <c r="R189" s="1683" t="str">
        <f t="shared" si="16"/>
        <v/>
      </c>
      <c r="S189" s="1512"/>
      <c r="T189" s="1513" t="str">
        <f t="shared" si="17"/>
        <v/>
      </c>
      <c r="U189" s="1512"/>
      <c r="V189" s="1512"/>
      <c r="W189" s="1638"/>
      <c r="X189" s="955"/>
      <c r="Y189" s="955"/>
      <c r="Z189" s="955"/>
      <c r="AA189" s="955"/>
      <c r="AB189" s="955"/>
      <c r="AC189" s="955"/>
      <c r="AD189" s="955"/>
      <c r="AE189" s="955"/>
      <c r="AF189" s="955"/>
      <c r="AG189" s="955"/>
      <c r="AH189" s="955"/>
      <c r="AI189" s="955"/>
      <c r="AJ189" s="955"/>
      <c r="AK189" s="955"/>
      <c r="AL189" s="955"/>
      <c r="AM189" s="955"/>
      <c r="AN189" s="955"/>
      <c r="AO189" s="955"/>
      <c r="AP189" s="955"/>
      <c r="AQ189" s="955"/>
      <c r="AR189" s="955"/>
      <c r="AS189" s="955"/>
    </row>
    <row r="190" spans="2:45" s="1514" customFormat="1" x14ac:dyDescent="0.2">
      <c r="B190" s="1640"/>
      <c r="C190" s="1517"/>
      <c r="D190" s="1516"/>
      <c r="E190" s="1518"/>
      <c r="F190" s="1510"/>
      <c r="G190" s="1510"/>
      <c r="H190" s="1510"/>
      <c r="I190" s="1512"/>
      <c r="J190" s="1512"/>
      <c r="K190" s="1635" t="str">
        <f t="shared" si="12"/>
        <v/>
      </c>
      <c r="L190" s="1633"/>
      <c r="M190" s="1512"/>
      <c r="N190" s="1513" t="str">
        <f t="shared" si="13"/>
        <v/>
      </c>
      <c r="O190" s="1682" t="str">
        <f t="shared" si="14"/>
        <v/>
      </c>
      <c r="P190" s="1512"/>
      <c r="Q190" s="1513" t="str">
        <f t="shared" si="15"/>
        <v/>
      </c>
      <c r="R190" s="1683" t="str">
        <f t="shared" si="16"/>
        <v/>
      </c>
      <c r="S190" s="1512"/>
      <c r="T190" s="1513" t="str">
        <f t="shared" si="17"/>
        <v/>
      </c>
      <c r="U190" s="1512"/>
      <c r="V190" s="1512"/>
      <c r="W190" s="1638"/>
      <c r="X190" s="955"/>
      <c r="Y190" s="955"/>
      <c r="Z190" s="955"/>
      <c r="AA190" s="955"/>
      <c r="AB190" s="955"/>
      <c r="AC190" s="955"/>
      <c r="AD190" s="955"/>
      <c r="AE190" s="955"/>
      <c r="AF190" s="955"/>
      <c r="AG190" s="955"/>
      <c r="AH190" s="955"/>
      <c r="AI190" s="955"/>
      <c r="AJ190" s="955"/>
      <c r="AK190" s="955"/>
      <c r="AL190" s="955"/>
      <c r="AM190" s="955"/>
      <c r="AN190" s="955"/>
      <c r="AO190" s="955"/>
      <c r="AP190" s="955"/>
      <c r="AQ190" s="955"/>
      <c r="AR190" s="955"/>
      <c r="AS190" s="955"/>
    </row>
    <row r="191" spans="2:45" s="1514" customFormat="1" x14ac:dyDescent="0.2">
      <c r="B191" s="1640"/>
      <c r="C191" s="1517"/>
      <c r="D191" s="1516"/>
      <c r="E191" s="1518"/>
      <c r="F191" s="1510"/>
      <c r="G191" s="1510"/>
      <c r="H191" s="1510"/>
      <c r="I191" s="1512"/>
      <c r="J191" s="1512"/>
      <c r="K191" s="1635" t="str">
        <f t="shared" si="12"/>
        <v/>
      </c>
      <c r="L191" s="1633"/>
      <c r="M191" s="1512"/>
      <c r="N191" s="1513" t="str">
        <f t="shared" si="13"/>
        <v/>
      </c>
      <c r="O191" s="1682" t="str">
        <f t="shared" si="14"/>
        <v/>
      </c>
      <c r="P191" s="1512"/>
      <c r="Q191" s="1513" t="str">
        <f t="shared" si="15"/>
        <v/>
      </c>
      <c r="R191" s="1683" t="str">
        <f t="shared" si="16"/>
        <v/>
      </c>
      <c r="S191" s="1512"/>
      <c r="T191" s="1513" t="str">
        <f t="shared" si="17"/>
        <v/>
      </c>
      <c r="U191" s="1512"/>
      <c r="V191" s="1512"/>
      <c r="W191" s="1638"/>
      <c r="X191" s="955"/>
      <c r="Y191" s="955"/>
      <c r="Z191" s="955"/>
      <c r="AA191" s="955"/>
      <c r="AB191" s="955"/>
      <c r="AC191" s="955"/>
      <c r="AD191" s="955"/>
      <c r="AE191" s="955"/>
      <c r="AF191" s="955"/>
      <c r="AG191" s="955"/>
      <c r="AH191" s="955"/>
      <c r="AI191" s="955"/>
      <c r="AJ191" s="955"/>
      <c r="AK191" s="955"/>
      <c r="AL191" s="955"/>
      <c r="AM191" s="955"/>
      <c r="AN191" s="955"/>
      <c r="AO191" s="955"/>
      <c r="AP191" s="955"/>
      <c r="AQ191" s="955"/>
      <c r="AR191" s="955"/>
      <c r="AS191" s="955"/>
    </row>
    <row r="192" spans="2:45" s="1514" customFormat="1" x14ac:dyDescent="0.2">
      <c r="B192" s="1640"/>
      <c r="C192" s="1517"/>
      <c r="D192" s="1516"/>
      <c r="E192" s="1518"/>
      <c r="F192" s="1510"/>
      <c r="G192" s="1510"/>
      <c r="H192" s="1510"/>
      <c r="I192" s="1512"/>
      <c r="J192" s="1512"/>
      <c r="K192" s="1635" t="str">
        <f t="shared" si="12"/>
        <v/>
      </c>
      <c r="L192" s="1633"/>
      <c r="M192" s="1512"/>
      <c r="N192" s="1513" t="str">
        <f t="shared" si="13"/>
        <v/>
      </c>
      <c r="O192" s="1682" t="str">
        <f t="shared" si="14"/>
        <v/>
      </c>
      <c r="P192" s="1512"/>
      <c r="Q192" s="1513" t="str">
        <f t="shared" si="15"/>
        <v/>
      </c>
      <c r="R192" s="1683" t="str">
        <f t="shared" si="16"/>
        <v/>
      </c>
      <c r="S192" s="1512"/>
      <c r="T192" s="1513" t="str">
        <f t="shared" si="17"/>
        <v/>
      </c>
      <c r="U192" s="1512"/>
      <c r="V192" s="1512"/>
      <c r="W192" s="1638"/>
      <c r="X192" s="955"/>
      <c r="Y192" s="955"/>
      <c r="Z192" s="955"/>
      <c r="AA192" s="955"/>
      <c r="AB192" s="955"/>
      <c r="AC192" s="955"/>
      <c r="AD192" s="955"/>
      <c r="AE192" s="955"/>
      <c r="AF192" s="955"/>
      <c r="AG192" s="955"/>
      <c r="AH192" s="955"/>
      <c r="AI192" s="955"/>
      <c r="AJ192" s="955"/>
      <c r="AK192" s="955"/>
      <c r="AL192" s="955"/>
      <c r="AM192" s="955"/>
      <c r="AN192" s="955"/>
      <c r="AO192" s="955"/>
      <c r="AP192" s="955"/>
      <c r="AQ192" s="955"/>
      <c r="AR192" s="955"/>
      <c r="AS192" s="955"/>
    </row>
    <row r="193" spans="2:45" s="1514" customFormat="1" x14ac:dyDescent="0.2">
      <c r="B193" s="1640"/>
      <c r="C193" s="1517"/>
      <c r="D193" s="1516"/>
      <c r="E193" s="1518"/>
      <c r="F193" s="1510"/>
      <c r="G193" s="1510"/>
      <c r="H193" s="1510"/>
      <c r="I193" s="1512"/>
      <c r="J193" s="1512"/>
      <c r="K193" s="1635" t="str">
        <f t="shared" si="12"/>
        <v/>
      </c>
      <c r="L193" s="1633"/>
      <c r="M193" s="1512"/>
      <c r="N193" s="1513" t="str">
        <f t="shared" si="13"/>
        <v/>
      </c>
      <c r="O193" s="1682" t="str">
        <f t="shared" si="14"/>
        <v/>
      </c>
      <c r="P193" s="1512"/>
      <c r="Q193" s="1513" t="str">
        <f t="shared" si="15"/>
        <v/>
      </c>
      <c r="R193" s="1683" t="str">
        <f t="shared" si="16"/>
        <v/>
      </c>
      <c r="S193" s="1512"/>
      <c r="T193" s="1513" t="str">
        <f t="shared" si="17"/>
        <v/>
      </c>
      <c r="U193" s="1512"/>
      <c r="V193" s="1512"/>
      <c r="W193" s="1638"/>
      <c r="X193" s="955"/>
      <c r="Y193" s="955"/>
      <c r="Z193" s="955"/>
      <c r="AA193" s="955"/>
      <c r="AB193" s="955"/>
      <c r="AC193" s="955"/>
      <c r="AD193" s="955"/>
      <c r="AE193" s="955"/>
      <c r="AF193" s="955"/>
      <c r="AG193" s="955"/>
      <c r="AH193" s="955"/>
      <c r="AI193" s="955"/>
      <c r="AJ193" s="955"/>
      <c r="AK193" s="955"/>
      <c r="AL193" s="955"/>
      <c r="AM193" s="955"/>
      <c r="AN193" s="955"/>
      <c r="AO193" s="955"/>
      <c r="AP193" s="955"/>
      <c r="AQ193" s="955"/>
      <c r="AR193" s="955"/>
      <c r="AS193" s="955"/>
    </row>
    <row r="194" spans="2:45" s="1514" customFormat="1" x14ac:dyDescent="0.2">
      <c r="B194" s="1640"/>
      <c r="C194" s="1517"/>
      <c r="D194" s="1516"/>
      <c r="E194" s="1518"/>
      <c r="F194" s="1510"/>
      <c r="G194" s="1510"/>
      <c r="H194" s="1510"/>
      <c r="I194" s="1512"/>
      <c r="J194" s="1512"/>
      <c r="K194" s="1635" t="str">
        <f t="shared" si="12"/>
        <v/>
      </c>
      <c r="L194" s="1633"/>
      <c r="M194" s="1512"/>
      <c r="N194" s="1513" t="str">
        <f t="shared" si="13"/>
        <v/>
      </c>
      <c r="O194" s="1682" t="str">
        <f t="shared" si="14"/>
        <v/>
      </c>
      <c r="P194" s="1512"/>
      <c r="Q194" s="1513" t="str">
        <f t="shared" si="15"/>
        <v/>
      </c>
      <c r="R194" s="1683" t="str">
        <f t="shared" si="16"/>
        <v/>
      </c>
      <c r="S194" s="1512"/>
      <c r="T194" s="1513" t="str">
        <f t="shared" si="17"/>
        <v/>
      </c>
      <c r="U194" s="1512"/>
      <c r="V194" s="1512"/>
      <c r="W194" s="1638"/>
      <c r="X194" s="955"/>
      <c r="Y194" s="955"/>
      <c r="Z194" s="955"/>
      <c r="AA194" s="955"/>
      <c r="AB194" s="955"/>
      <c r="AC194" s="955"/>
      <c r="AD194" s="955"/>
      <c r="AE194" s="955"/>
      <c r="AF194" s="955"/>
      <c r="AG194" s="955"/>
      <c r="AH194" s="955"/>
      <c r="AI194" s="955"/>
      <c r="AJ194" s="955"/>
      <c r="AK194" s="955"/>
      <c r="AL194" s="955"/>
      <c r="AM194" s="955"/>
      <c r="AN194" s="955"/>
      <c r="AO194" s="955"/>
      <c r="AP194" s="955"/>
      <c r="AQ194" s="955"/>
      <c r="AR194" s="955"/>
      <c r="AS194" s="955"/>
    </row>
    <row r="195" spans="2:45" s="1514" customFormat="1" x14ac:dyDescent="0.2">
      <c r="B195" s="1640"/>
      <c r="C195" s="1517"/>
      <c r="D195" s="1516"/>
      <c r="E195" s="1518"/>
      <c r="F195" s="1510"/>
      <c r="G195" s="1510"/>
      <c r="H195" s="1510"/>
      <c r="I195" s="1512"/>
      <c r="J195" s="1512"/>
      <c r="K195" s="1635" t="str">
        <f t="shared" si="12"/>
        <v/>
      </c>
      <c r="L195" s="1633"/>
      <c r="M195" s="1512"/>
      <c r="N195" s="1513" t="str">
        <f t="shared" si="13"/>
        <v/>
      </c>
      <c r="O195" s="1682" t="str">
        <f t="shared" si="14"/>
        <v/>
      </c>
      <c r="P195" s="1512"/>
      <c r="Q195" s="1513" t="str">
        <f t="shared" si="15"/>
        <v/>
      </c>
      <c r="R195" s="1683" t="str">
        <f t="shared" si="16"/>
        <v/>
      </c>
      <c r="S195" s="1512"/>
      <c r="T195" s="1513" t="str">
        <f t="shared" si="17"/>
        <v/>
      </c>
      <c r="U195" s="1512"/>
      <c r="V195" s="1512"/>
      <c r="W195" s="1638"/>
      <c r="X195" s="955"/>
      <c r="Y195" s="955"/>
      <c r="Z195" s="955"/>
      <c r="AA195" s="955"/>
      <c r="AB195" s="955"/>
      <c r="AC195" s="955"/>
      <c r="AD195" s="955"/>
      <c r="AE195" s="955"/>
      <c r="AF195" s="955"/>
      <c r="AG195" s="955"/>
      <c r="AH195" s="955"/>
      <c r="AI195" s="955"/>
      <c r="AJ195" s="955"/>
      <c r="AK195" s="955"/>
      <c r="AL195" s="955"/>
      <c r="AM195" s="955"/>
      <c r="AN195" s="955"/>
      <c r="AO195" s="955"/>
      <c r="AP195" s="955"/>
      <c r="AQ195" s="955"/>
      <c r="AR195" s="955"/>
      <c r="AS195" s="955"/>
    </row>
    <row r="196" spans="2:45" s="1514" customFormat="1" x14ac:dyDescent="0.2">
      <c r="B196" s="1640"/>
      <c r="C196" s="1517"/>
      <c r="D196" s="1516"/>
      <c r="E196" s="1518"/>
      <c r="F196" s="1510"/>
      <c r="G196" s="1510"/>
      <c r="H196" s="1510"/>
      <c r="I196" s="1512"/>
      <c r="J196" s="1512"/>
      <c r="K196" s="1635" t="str">
        <f t="shared" si="12"/>
        <v/>
      </c>
      <c r="L196" s="1633"/>
      <c r="M196" s="1512"/>
      <c r="N196" s="1513" t="str">
        <f t="shared" si="13"/>
        <v/>
      </c>
      <c r="O196" s="1682" t="str">
        <f t="shared" si="14"/>
        <v/>
      </c>
      <c r="P196" s="1512"/>
      <c r="Q196" s="1513" t="str">
        <f t="shared" si="15"/>
        <v/>
      </c>
      <c r="R196" s="1683" t="str">
        <f t="shared" si="16"/>
        <v/>
      </c>
      <c r="S196" s="1512"/>
      <c r="T196" s="1513" t="str">
        <f t="shared" si="17"/>
        <v/>
      </c>
      <c r="U196" s="1512"/>
      <c r="V196" s="1512"/>
      <c r="W196" s="1638"/>
      <c r="X196" s="955"/>
      <c r="Y196" s="955"/>
      <c r="Z196" s="955"/>
      <c r="AA196" s="955"/>
      <c r="AB196" s="955"/>
      <c r="AC196" s="955"/>
      <c r="AD196" s="955"/>
      <c r="AE196" s="955"/>
      <c r="AF196" s="955"/>
      <c r="AG196" s="955"/>
      <c r="AH196" s="955"/>
      <c r="AI196" s="955"/>
      <c r="AJ196" s="955"/>
      <c r="AK196" s="955"/>
      <c r="AL196" s="955"/>
      <c r="AM196" s="955"/>
      <c r="AN196" s="955"/>
      <c r="AO196" s="955"/>
      <c r="AP196" s="955"/>
      <c r="AQ196" s="955"/>
      <c r="AR196" s="955"/>
      <c r="AS196" s="955"/>
    </row>
    <row r="197" spans="2:45" s="1514" customFormat="1" x14ac:dyDescent="0.2">
      <c r="B197" s="1640"/>
      <c r="C197" s="1517"/>
      <c r="D197" s="1516"/>
      <c r="E197" s="1518"/>
      <c r="F197" s="1510"/>
      <c r="G197" s="1510"/>
      <c r="H197" s="1510"/>
      <c r="I197" s="1512"/>
      <c r="J197" s="1512"/>
      <c r="K197" s="1635" t="str">
        <f t="shared" si="12"/>
        <v/>
      </c>
      <c r="L197" s="1633"/>
      <c r="M197" s="1512"/>
      <c r="N197" s="1513" t="str">
        <f t="shared" si="13"/>
        <v/>
      </c>
      <c r="O197" s="1682" t="str">
        <f t="shared" si="14"/>
        <v/>
      </c>
      <c r="P197" s="1512"/>
      <c r="Q197" s="1513" t="str">
        <f t="shared" si="15"/>
        <v/>
      </c>
      <c r="R197" s="1683" t="str">
        <f t="shared" si="16"/>
        <v/>
      </c>
      <c r="S197" s="1512"/>
      <c r="T197" s="1513" t="str">
        <f t="shared" si="17"/>
        <v/>
      </c>
      <c r="U197" s="1512"/>
      <c r="V197" s="1512"/>
      <c r="W197" s="1638"/>
      <c r="X197" s="955"/>
      <c r="Y197" s="955"/>
      <c r="Z197" s="955"/>
      <c r="AA197" s="955"/>
      <c r="AB197" s="955"/>
      <c r="AC197" s="955"/>
      <c r="AD197" s="955"/>
      <c r="AE197" s="955"/>
      <c r="AF197" s="955"/>
      <c r="AG197" s="955"/>
      <c r="AH197" s="955"/>
      <c r="AI197" s="955"/>
      <c r="AJ197" s="955"/>
      <c r="AK197" s="955"/>
      <c r="AL197" s="955"/>
      <c r="AM197" s="955"/>
      <c r="AN197" s="955"/>
      <c r="AO197" s="955"/>
      <c r="AP197" s="955"/>
      <c r="AQ197" s="955"/>
      <c r="AR197" s="955"/>
      <c r="AS197" s="955"/>
    </row>
    <row r="198" spans="2:45" s="1514" customFormat="1" x14ac:dyDescent="0.2">
      <c r="B198" s="1640"/>
      <c r="C198" s="1517"/>
      <c r="D198" s="1516"/>
      <c r="E198" s="1518"/>
      <c r="F198" s="1510"/>
      <c r="G198" s="1510"/>
      <c r="H198" s="1510"/>
      <c r="I198" s="1512"/>
      <c r="J198" s="1512"/>
      <c r="K198" s="1635" t="str">
        <f t="shared" si="12"/>
        <v/>
      </c>
      <c r="L198" s="1633"/>
      <c r="M198" s="1512"/>
      <c r="N198" s="1513" t="str">
        <f t="shared" si="13"/>
        <v/>
      </c>
      <c r="O198" s="1682" t="str">
        <f t="shared" si="14"/>
        <v/>
      </c>
      <c r="P198" s="1512"/>
      <c r="Q198" s="1513" t="str">
        <f t="shared" si="15"/>
        <v/>
      </c>
      <c r="R198" s="1683" t="str">
        <f t="shared" si="16"/>
        <v/>
      </c>
      <c r="S198" s="1512"/>
      <c r="T198" s="1513" t="str">
        <f t="shared" si="17"/>
        <v/>
      </c>
      <c r="U198" s="1512"/>
      <c r="V198" s="1512"/>
      <c r="W198" s="1638"/>
      <c r="X198" s="955"/>
      <c r="Y198" s="955"/>
      <c r="Z198" s="955"/>
      <c r="AA198" s="955"/>
      <c r="AB198" s="955"/>
      <c r="AC198" s="955"/>
      <c r="AD198" s="955"/>
      <c r="AE198" s="955"/>
      <c r="AF198" s="955"/>
      <c r="AG198" s="955"/>
      <c r="AH198" s="955"/>
      <c r="AI198" s="955"/>
      <c r="AJ198" s="955"/>
      <c r="AK198" s="955"/>
      <c r="AL198" s="955"/>
      <c r="AM198" s="955"/>
      <c r="AN198" s="955"/>
      <c r="AO198" s="955"/>
      <c r="AP198" s="955"/>
      <c r="AQ198" s="955"/>
      <c r="AR198" s="955"/>
      <c r="AS198" s="955"/>
    </row>
    <row r="199" spans="2:45" s="1514" customFormat="1" x14ac:dyDescent="0.2">
      <c r="B199" s="1640"/>
      <c r="C199" s="1517"/>
      <c r="D199" s="1516"/>
      <c r="E199" s="1518"/>
      <c r="F199" s="1510"/>
      <c r="G199" s="1510"/>
      <c r="H199" s="1510"/>
      <c r="I199" s="1512"/>
      <c r="J199" s="1512"/>
      <c r="K199" s="1635" t="str">
        <f t="shared" si="12"/>
        <v/>
      </c>
      <c r="L199" s="1633"/>
      <c r="M199" s="1512"/>
      <c r="N199" s="1513" t="str">
        <f t="shared" si="13"/>
        <v/>
      </c>
      <c r="O199" s="1682" t="str">
        <f t="shared" si="14"/>
        <v/>
      </c>
      <c r="P199" s="1512"/>
      <c r="Q199" s="1513" t="str">
        <f t="shared" si="15"/>
        <v/>
      </c>
      <c r="R199" s="1683" t="str">
        <f t="shared" si="16"/>
        <v/>
      </c>
      <c r="S199" s="1512"/>
      <c r="T199" s="1513" t="str">
        <f t="shared" si="17"/>
        <v/>
      </c>
      <c r="U199" s="1512"/>
      <c r="V199" s="1512"/>
      <c r="W199" s="1638"/>
      <c r="X199" s="955"/>
      <c r="Y199" s="955"/>
      <c r="Z199" s="955"/>
      <c r="AA199" s="955"/>
      <c r="AB199" s="955"/>
      <c r="AC199" s="955"/>
      <c r="AD199" s="955"/>
      <c r="AE199" s="955"/>
      <c r="AF199" s="955"/>
      <c r="AG199" s="955"/>
      <c r="AH199" s="955"/>
      <c r="AI199" s="955"/>
      <c r="AJ199" s="955"/>
      <c r="AK199" s="955"/>
      <c r="AL199" s="955"/>
      <c r="AM199" s="955"/>
      <c r="AN199" s="955"/>
      <c r="AO199" s="955"/>
      <c r="AP199" s="955"/>
      <c r="AQ199" s="955"/>
      <c r="AR199" s="955"/>
      <c r="AS199" s="955"/>
    </row>
    <row r="200" spans="2:45" s="1514" customFormat="1" x14ac:dyDescent="0.2">
      <c r="B200" s="1640"/>
      <c r="C200" s="1517"/>
      <c r="D200" s="1516"/>
      <c r="E200" s="1518"/>
      <c r="F200" s="1510"/>
      <c r="G200" s="1510"/>
      <c r="H200" s="1510"/>
      <c r="I200" s="1512"/>
      <c r="J200" s="1512"/>
      <c r="K200" s="1635" t="str">
        <f t="shared" si="12"/>
        <v/>
      </c>
      <c r="L200" s="1633"/>
      <c r="M200" s="1512"/>
      <c r="N200" s="1513" t="str">
        <f t="shared" si="13"/>
        <v/>
      </c>
      <c r="O200" s="1682" t="str">
        <f t="shared" si="14"/>
        <v/>
      </c>
      <c r="P200" s="1512"/>
      <c r="Q200" s="1513" t="str">
        <f t="shared" si="15"/>
        <v/>
      </c>
      <c r="R200" s="1683" t="str">
        <f t="shared" si="16"/>
        <v/>
      </c>
      <c r="S200" s="1512"/>
      <c r="T200" s="1513" t="str">
        <f t="shared" si="17"/>
        <v/>
      </c>
      <c r="U200" s="1512"/>
      <c r="V200" s="1512"/>
      <c r="W200" s="1638"/>
      <c r="X200" s="955"/>
      <c r="Y200" s="955"/>
      <c r="Z200" s="955"/>
      <c r="AA200" s="955"/>
      <c r="AB200" s="955"/>
      <c r="AC200" s="955"/>
      <c r="AD200" s="955"/>
      <c r="AE200" s="955"/>
      <c r="AF200" s="955"/>
      <c r="AG200" s="955"/>
      <c r="AH200" s="955"/>
      <c r="AI200" s="955"/>
      <c r="AJ200" s="955"/>
      <c r="AK200" s="955"/>
      <c r="AL200" s="955"/>
      <c r="AM200" s="955"/>
      <c r="AN200" s="955"/>
      <c r="AO200" s="955"/>
      <c r="AP200" s="955"/>
      <c r="AQ200" s="955"/>
      <c r="AR200" s="955"/>
      <c r="AS200" s="955"/>
    </row>
    <row r="201" spans="2:45" s="1514" customFormat="1" x14ac:dyDescent="0.2">
      <c r="B201" s="1640"/>
      <c r="C201" s="1517"/>
      <c r="D201" s="1516"/>
      <c r="E201" s="1518"/>
      <c r="F201" s="1510"/>
      <c r="G201" s="1510"/>
      <c r="H201" s="1510"/>
      <c r="I201" s="1512"/>
      <c r="J201" s="1512"/>
      <c r="K201" s="1635" t="str">
        <f t="shared" si="12"/>
        <v/>
      </c>
      <c r="L201" s="1633"/>
      <c r="M201" s="1512"/>
      <c r="N201" s="1513" t="str">
        <f t="shared" si="13"/>
        <v/>
      </c>
      <c r="O201" s="1682" t="str">
        <f t="shared" si="14"/>
        <v/>
      </c>
      <c r="P201" s="1512"/>
      <c r="Q201" s="1513" t="str">
        <f t="shared" si="15"/>
        <v/>
      </c>
      <c r="R201" s="1683" t="str">
        <f t="shared" si="16"/>
        <v/>
      </c>
      <c r="S201" s="1512"/>
      <c r="T201" s="1513" t="str">
        <f t="shared" si="17"/>
        <v/>
      </c>
      <c r="U201" s="1512"/>
      <c r="V201" s="1512"/>
      <c r="W201" s="1638"/>
      <c r="X201" s="955"/>
      <c r="Y201" s="955"/>
      <c r="Z201" s="955"/>
      <c r="AA201" s="955"/>
      <c r="AB201" s="955"/>
      <c r="AC201" s="955"/>
      <c r="AD201" s="955"/>
      <c r="AE201" s="955"/>
      <c r="AF201" s="955"/>
      <c r="AG201" s="955"/>
      <c r="AH201" s="955"/>
      <c r="AI201" s="955"/>
      <c r="AJ201" s="955"/>
      <c r="AK201" s="955"/>
      <c r="AL201" s="955"/>
      <c r="AM201" s="955"/>
      <c r="AN201" s="955"/>
      <c r="AO201" s="955"/>
      <c r="AP201" s="955"/>
      <c r="AQ201" s="955"/>
      <c r="AR201" s="955"/>
      <c r="AS201" s="955"/>
    </row>
    <row r="202" spans="2:45" s="1514" customFormat="1" x14ac:dyDescent="0.2">
      <c r="B202" s="1640"/>
      <c r="C202" s="1517"/>
      <c r="D202" s="1516"/>
      <c r="E202" s="1518"/>
      <c r="F202" s="1510"/>
      <c r="G202" s="1510"/>
      <c r="H202" s="1510"/>
      <c r="I202" s="1512"/>
      <c r="J202" s="1512"/>
      <c r="K202" s="1635" t="str">
        <f t="shared" si="12"/>
        <v/>
      </c>
      <c r="L202" s="1633"/>
      <c r="M202" s="1512"/>
      <c r="N202" s="1513" t="str">
        <f t="shared" si="13"/>
        <v/>
      </c>
      <c r="O202" s="1682" t="str">
        <f t="shared" si="14"/>
        <v/>
      </c>
      <c r="P202" s="1512"/>
      <c r="Q202" s="1513" t="str">
        <f t="shared" si="15"/>
        <v/>
      </c>
      <c r="R202" s="1683" t="str">
        <f t="shared" si="16"/>
        <v/>
      </c>
      <c r="S202" s="1512"/>
      <c r="T202" s="1513" t="str">
        <f t="shared" si="17"/>
        <v/>
      </c>
      <c r="U202" s="1512"/>
      <c r="V202" s="1512"/>
      <c r="W202" s="1638"/>
      <c r="X202" s="955"/>
      <c r="Y202" s="955"/>
      <c r="Z202" s="955"/>
      <c r="AA202" s="955"/>
      <c r="AB202" s="955"/>
      <c r="AC202" s="955"/>
      <c r="AD202" s="955"/>
      <c r="AE202" s="955"/>
      <c r="AF202" s="955"/>
      <c r="AG202" s="955"/>
      <c r="AH202" s="955"/>
      <c r="AI202" s="955"/>
      <c r="AJ202" s="955"/>
      <c r="AK202" s="955"/>
      <c r="AL202" s="955"/>
      <c r="AM202" s="955"/>
      <c r="AN202" s="955"/>
      <c r="AO202" s="955"/>
      <c r="AP202" s="955"/>
      <c r="AQ202" s="955"/>
      <c r="AR202" s="955"/>
      <c r="AS202" s="955"/>
    </row>
    <row r="203" spans="2:45" s="1514" customFormat="1" x14ac:dyDescent="0.2">
      <c r="B203" s="1640"/>
      <c r="C203" s="1517"/>
      <c r="D203" s="1516"/>
      <c r="E203" s="1518"/>
      <c r="F203" s="1510"/>
      <c r="G203" s="1510"/>
      <c r="H203" s="1510"/>
      <c r="I203" s="1512"/>
      <c r="J203" s="1512"/>
      <c r="K203" s="1635" t="str">
        <f t="shared" si="12"/>
        <v/>
      </c>
      <c r="L203" s="1633"/>
      <c r="M203" s="1512"/>
      <c r="N203" s="1513" t="str">
        <f t="shared" si="13"/>
        <v/>
      </c>
      <c r="O203" s="1682" t="str">
        <f t="shared" si="14"/>
        <v/>
      </c>
      <c r="P203" s="1512"/>
      <c r="Q203" s="1513" t="str">
        <f t="shared" si="15"/>
        <v/>
      </c>
      <c r="R203" s="1683" t="str">
        <f t="shared" si="16"/>
        <v/>
      </c>
      <c r="S203" s="1512"/>
      <c r="T203" s="1513" t="str">
        <f t="shared" si="17"/>
        <v/>
      </c>
      <c r="U203" s="1512"/>
      <c r="V203" s="1512"/>
      <c r="W203" s="1638"/>
      <c r="X203" s="955"/>
      <c r="Y203" s="955"/>
      <c r="Z203" s="955"/>
      <c r="AA203" s="955"/>
      <c r="AB203" s="955"/>
      <c r="AC203" s="955"/>
      <c r="AD203" s="955"/>
      <c r="AE203" s="955"/>
      <c r="AF203" s="955"/>
      <c r="AG203" s="955"/>
      <c r="AH203" s="955"/>
      <c r="AI203" s="955"/>
      <c r="AJ203" s="955"/>
      <c r="AK203" s="955"/>
      <c r="AL203" s="955"/>
      <c r="AM203" s="955"/>
      <c r="AN203" s="955"/>
      <c r="AO203" s="955"/>
      <c r="AP203" s="955"/>
      <c r="AQ203" s="955"/>
      <c r="AR203" s="955"/>
      <c r="AS203" s="955"/>
    </row>
    <row r="204" spans="2:45" s="1514" customFormat="1" x14ac:dyDescent="0.2">
      <c r="B204" s="1640"/>
      <c r="C204" s="1517"/>
      <c r="D204" s="1516"/>
      <c r="E204" s="1518"/>
      <c r="F204" s="1510"/>
      <c r="G204" s="1510"/>
      <c r="H204" s="1510"/>
      <c r="I204" s="1512"/>
      <c r="J204" s="1512"/>
      <c r="K204" s="1635" t="str">
        <f t="shared" si="12"/>
        <v/>
      </c>
      <c r="L204" s="1633"/>
      <c r="M204" s="1512"/>
      <c r="N204" s="1513" t="str">
        <f t="shared" si="13"/>
        <v/>
      </c>
      <c r="O204" s="1682" t="str">
        <f t="shared" si="14"/>
        <v/>
      </c>
      <c r="P204" s="1512"/>
      <c r="Q204" s="1513" t="str">
        <f t="shared" si="15"/>
        <v/>
      </c>
      <c r="R204" s="1683" t="str">
        <f t="shared" si="16"/>
        <v/>
      </c>
      <c r="S204" s="1512"/>
      <c r="T204" s="1513" t="str">
        <f t="shared" si="17"/>
        <v/>
      </c>
      <c r="U204" s="1512"/>
      <c r="V204" s="1512"/>
      <c r="W204" s="1638"/>
      <c r="X204" s="955"/>
      <c r="Y204" s="955"/>
      <c r="Z204" s="955"/>
      <c r="AA204" s="955"/>
      <c r="AB204" s="955"/>
      <c r="AC204" s="955"/>
      <c r="AD204" s="955"/>
      <c r="AE204" s="955"/>
      <c r="AF204" s="955"/>
      <c r="AG204" s="955"/>
      <c r="AH204" s="955"/>
      <c r="AI204" s="955"/>
      <c r="AJ204" s="955"/>
      <c r="AK204" s="955"/>
      <c r="AL204" s="955"/>
      <c r="AM204" s="955"/>
      <c r="AN204" s="955"/>
      <c r="AO204" s="955"/>
      <c r="AP204" s="955"/>
      <c r="AQ204" s="955"/>
      <c r="AR204" s="955"/>
      <c r="AS204" s="955"/>
    </row>
    <row r="205" spans="2:45" s="1514" customFormat="1" x14ac:dyDescent="0.2">
      <c r="B205" s="1640"/>
      <c r="C205" s="1517"/>
      <c r="D205" s="1516"/>
      <c r="E205" s="1518"/>
      <c r="F205" s="1510"/>
      <c r="G205" s="1510"/>
      <c r="H205" s="1510"/>
      <c r="I205" s="1512"/>
      <c r="J205" s="1512"/>
      <c r="K205" s="1635" t="str">
        <f t="shared" si="12"/>
        <v/>
      </c>
      <c r="L205" s="1633"/>
      <c r="M205" s="1512"/>
      <c r="N205" s="1513" t="str">
        <f t="shared" si="13"/>
        <v/>
      </c>
      <c r="O205" s="1682" t="str">
        <f t="shared" si="14"/>
        <v/>
      </c>
      <c r="P205" s="1512"/>
      <c r="Q205" s="1513" t="str">
        <f t="shared" si="15"/>
        <v/>
      </c>
      <c r="R205" s="1683" t="str">
        <f t="shared" si="16"/>
        <v/>
      </c>
      <c r="S205" s="1512"/>
      <c r="T205" s="1513" t="str">
        <f t="shared" si="17"/>
        <v/>
      </c>
      <c r="U205" s="1512"/>
      <c r="V205" s="1512"/>
      <c r="W205" s="1638"/>
      <c r="X205" s="955"/>
      <c r="Y205" s="955"/>
      <c r="Z205" s="955"/>
      <c r="AA205" s="955"/>
      <c r="AB205" s="955"/>
      <c r="AC205" s="955"/>
      <c r="AD205" s="955"/>
      <c r="AE205" s="955"/>
      <c r="AF205" s="955"/>
      <c r="AG205" s="955"/>
      <c r="AH205" s="955"/>
      <c r="AI205" s="955"/>
      <c r="AJ205" s="955"/>
      <c r="AK205" s="955"/>
      <c r="AL205" s="955"/>
      <c r="AM205" s="955"/>
      <c r="AN205" s="955"/>
      <c r="AO205" s="955"/>
      <c r="AP205" s="955"/>
      <c r="AQ205" s="955"/>
      <c r="AR205" s="955"/>
      <c r="AS205" s="955"/>
    </row>
    <row r="206" spans="2:45" s="1514" customFormat="1" x14ac:dyDescent="0.2">
      <c r="B206" s="1640"/>
      <c r="C206" s="1517"/>
      <c r="D206" s="1516"/>
      <c r="E206" s="1518"/>
      <c r="F206" s="1510"/>
      <c r="G206" s="1510"/>
      <c r="H206" s="1510"/>
      <c r="I206" s="1512"/>
      <c r="J206" s="1512"/>
      <c r="K206" s="1635" t="str">
        <f t="shared" si="12"/>
        <v/>
      </c>
      <c r="L206" s="1633"/>
      <c r="M206" s="1512"/>
      <c r="N206" s="1513" t="str">
        <f t="shared" si="13"/>
        <v/>
      </c>
      <c r="O206" s="1682" t="str">
        <f t="shared" si="14"/>
        <v/>
      </c>
      <c r="P206" s="1512"/>
      <c r="Q206" s="1513" t="str">
        <f t="shared" si="15"/>
        <v/>
      </c>
      <c r="R206" s="1683" t="str">
        <f t="shared" si="16"/>
        <v/>
      </c>
      <c r="S206" s="1512"/>
      <c r="T206" s="1513" t="str">
        <f t="shared" si="17"/>
        <v/>
      </c>
      <c r="U206" s="1512"/>
      <c r="V206" s="1512"/>
      <c r="W206" s="1638"/>
      <c r="X206" s="955"/>
      <c r="Y206" s="955"/>
      <c r="Z206" s="955"/>
      <c r="AA206" s="955"/>
      <c r="AB206" s="955"/>
      <c r="AC206" s="955"/>
      <c r="AD206" s="955"/>
      <c r="AE206" s="955"/>
      <c r="AF206" s="955"/>
      <c r="AG206" s="955"/>
      <c r="AH206" s="955"/>
      <c r="AI206" s="955"/>
      <c r="AJ206" s="955"/>
      <c r="AK206" s="955"/>
      <c r="AL206" s="955"/>
      <c r="AM206" s="955"/>
      <c r="AN206" s="955"/>
      <c r="AO206" s="955"/>
      <c r="AP206" s="955"/>
      <c r="AQ206" s="955"/>
      <c r="AR206" s="955"/>
      <c r="AS206" s="955"/>
    </row>
    <row r="207" spans="2:45" s="1514" customFormat="1" x14ac:dyDescent="0.2">
      <c r="B207" s="1640"/>
      <c r="C207" s="1517"/>
      <c r="D207" s="1516"/>
      <c r="E207" s="1518"/>
      <c r="F207" s="1510"/>
      <c r="G207" s="1510"/>
      <c r="H207" s="1510"/>
      <c r="I207" s="1512"/>
      <c r="J207" s="1512"/>
      <c r="K207" s="1635" t="str">
        <f t="shared" si="12"/>
        <v/>
      </c>
      <c r="L207" s="1633"/>
      <c r="M207" s="1512"/>
      <c r="N207" s="1513" t="str">
        <f t="shared" si="13"/>
        <v/>
      </c>
      <c r="O207" s="1682" t="str">
        <f t="shared" si="14"/>
        <v/>
      </c>
      <c r="P207" s="1512"/>
      <c r="Q207" s="1513" t="str">
        <f t="shared" si="15"/>
        <v/>
      </c>
      <c r="R207" s="1683" t="str">
        <f t="shared" si="16"/>
        <v/>
      </c>
      <c r="S207" s="1512"/>
      <c r="T207" s="1513" t="str">
        <f t="shared" si="17"/>
        <v/>
      </c>
      <c r="U207" s="1512"/>
      <c r="V207" s="1512"/>
      <c r="W207" s="1638"/>
      <c r="X207" s="955"/>
      <c r="Y207" s="955"/>
      <c r="Z207" s="955"/>
      <c r="AA207" s="955"/>
      <c r="AB207" s="955"/>
      <c r="AC207" s="955"/>
      <c r="AD207" s="955"/>
      <c r="AE207" s="955"/>
      <c r="AF207" s="955"/>
      <c r="AG207" s="955"/>
      <c r="AH207" s="955"/>
      <c r="AI207" s="955"/>
      <c r="AJ207" s="955"/>
      <c r="AK207" s="955"/>
      <c r="AL207" s="955"/>
      <c r="AM207" s="955"/>
      <c r="AN207" s="955"/>
      <c r="AO207" s="955"/>
      <c r="AP207" s="955"/>
      <c r="AQ207" s="955"/>
      <c r="AR207" s="955"/>
      <c r="AS207" s="955"/>
    </row>
    <row r="208" spans="2:45" s="1514" customFormat="1" x14ac:dyDescent="0.2">
      <c r="B208" s="1640"/>
      <c r="C208" s="1517"/>
      <c r="D208" s="1516"/>
      <c r="E208" s="1518"/>
      <c r="F208" s="1510"/>
      <c r="G208" s="1510"/>
      <c r="H208" s="1510"/>
      <c r="I208" s="1512"/>
      <c r="J208" s="1512"/>
      <c r="K208" s="1635" t="str">
        <f t="shared" si="12"/>
        <v/>
      </c>
      <c r="L208" s="1633"/>
      <c r="M208" s="1512"/>
      <c r="N208" s="1513" t="str">
        <f t="shared" si="13"/>
        <v/>
      </c>
      <c r="O208" s="1682" t="str">
        <f t="shared" si="14"/>
        <v/>
      </c>
      <c r="P208" s="1512"/>
      <c r="Q208" s="1513" t="str">
        <f t="shared" si="15"/>
        <v/>
      </c>
      <c r="R208" s="1683" t="str">
        <f t="shared" si="16"/>
        <v/>
      </c>
      <c r="S208" s="1512"/>
      <c r="T208" s="1513" t="str">
        <f t="shared" si="17"/>
        <v/>
      </c>
      <c r="U208" s="1512"/>
      <c r="V208" s="1512"/>
      <c r="W208" s="1638"/>
      <c r="X208" s="955"/>
      <c r="Y208" s="955"/>
      <c r="Z208" s="955"/>
      <c r="AA208" s="955"/>
      <c r="AB208" s="955"/>
      <c r="AC208" s="955"/>
      <c r="AD208" s="955"/>
      <c r="AE208" s="955"/>
      <c r="AF208" s="955"/>
      <c r="AG208" s="955"/>
      <c r="AH208" s="955"/>
      <c r="AI208" s="955"/>
      <c r="AJ208" s="955"/>
      <c r="AK208" s="955"/>
      <c r="AL208" s="955"/>
      <c r="AM208" s="955"/>
      <c r="AN208" s="955"/>
      <c r="AO208" s="955"/>
      <c r="AP208" s="955"/>
      <c r="AQ208" s="955"/>
      <c r="AR208" s="955"/>
      <c r="AS208" s="955"/>
    </row>
    <row r="209" spans="2:45" s="1514" customFormat="1" x14ac:dyDescent="0.2">
      <c r="B209" s="1640"/>
      <c r="C209" s="1517"/>
      <c r="D209" s="1516"/>
      <c r="E209" s="1518"/>
      <c r="F209" s="1510"/>
      <c r="G209" s="1510"/>
      <c r="H209" s="1510"/>
      <c r="I209" s="1512"/>
      <c r="J209" s="1512"/>
      <c r="K209" s="1635" t="str">
        <f t="shared" si="12"/>
        <v/>
      </c>
      <c r="L209" s="1633"/>
      <c r="M209" s="1512"/>
      <c r="N209" s="1513" t="str">
        <f t="shared" si="13"/>
        <v/>
      </c>
      <c r="O209" s="1682" t="str">
        <f t="shared" si="14"/>
        <v/>
      </c>
      <c r="P209" s="1512"/>
      <c r="Q209" s="1513" t="str">
        <f t="shared" si="15"/>
        <v/>
      </c>
      <c r="R209" s="1683" t="str">
        <f t="shared" si="16"/>
        <v/>
      </c>
      <c r="S209" s="1512"/>
      <c r="T209" s="1513" t="str">
        <f t="shared" si="17"/>
        <v/>
      </c>
      <c r="U209" s="1512"/>
      <c r="V209" s="1512"/>
      <c r="W209" s="1638"/>
      <c r="X209" s="955"/>
      <c r="Y209" s="955"/>
      <c r="Z209" s="955"/>
      <c r="AA209" s="955"/>
      <c r="AB209" s="955"/>
      <c r="AC209" s="955"/>
      <c r="AD209" s="955"/>
      <c r="AE209" s="955"/>
      <c r="AF209" s="955"/>
      <c r="AG209" s="955"/>
      <c r="AH209" s="955"/>
      <c r="AI209" s="955"/>
      <c r="AJ209" s="955"/>
      <c r="AK209" s="955"/>
      <c r="AL209" s="955"/>
      <c r="AM209" s="955"/>
      <c r="AN209" s="955"/>
      <c r="AO209" s="955"/>
      <c r="AP209" s="955"/>
      <c r="AQ209" s="955"/>
      <c r="AR209" s="955"/>
      <c r="AS209" s="955"/>
    </row>
    <row r="210" spans="2:45" s="1514" customFormat="1" x14ac:dyDescent="0.2">
      <c r="B210" s="1640"/>
      <c r="C210" s="1517"/>
      <c r="D210" s="1516"/>
      <c r="E210" s="1518"/>
      <c r="F210" s="1510"/>
      <c r="G210" s="1510"/>
      <c r="H210" s="1510"/>
      <c r="I210" s="1512"/>
      <c r="J210" s="1512"/>
      <c r="K210" s="1635" t="str">
        <f t="shared" si="12"/>
        <v/>
      </c>
      <c r="L210" s="1633"/>
      <c r="M210" s="1512"/>
      <c r="N210" s="1513" t="str">
        <f t="shared" si="13"/>
        <v/>
      </c>
      <c r="O210" s="1682" t="str">
        <f t="shared" si="14"/>
        <v/>
      </c>
      <c r="P210" s="1512"/>
      <c r="Q210" s="1513" t="str">
        <f t="shared" si="15"/>
        <v/>
      </c>
      <c r="R210" s="1683" t="str">
        <f t="shared" si="16"/>
        <v/>
      </c>
      <c r="S210" s="1512"/>
      <c r="T210" s="1513" t="str">
        <f t="shared" si="17"/>
        <v/>
      </c>
      <c r="U210" s="1512"/>
      <c r="V210" s="1512"/>
      <c r="W210" s="1638"/>
      <c r="X210" s="955"/>
      <c r="Y210" s="955"/>
      <c r="Z210" s="955"/>
      <c r="AA210" s="955"/>
      <c r="AB210" s="955"/>
      <c r="AC210" s="955"/>
      <c r="AD210" s="955"/>
      <c r="AE210" s="955"/>
      <c r="AF210" s="955"/>
      <c r="AG210" s="955"/>
      <c r="AH210" s="955"/>
      <c r="AI210" s="955"/>
      <c r="AJ210" s="955"/>
      <c r="AK210" s="955"/>
      <c r="AL210" s="955"/>
      <c r="AM210" s="955"/>
      <c r="AN210" s="955"/>
      <c r="AO210" s="955"/>
      <c r="AP210" s="955"/>
      <c r="AQ210" s="955"/>
      <c r="AR210" s="955"/>
      <c r="AS210" s="955"/>
    </row>
    <row r="211" spans="2:45" s="1514" customFormat="1" x14ac:dyDescent="0.2">
      <c r="B211" s="1640"/>
      <c r="C211" s="1517"/>
      <c r="D211" s="1516"/>
      <c r="E211" s="1518"/>
      <c r="F211" s="1510"/>
      <c r="G211" s="1510"/>
      <c r="H211" s="1510"/>
      <c r="I211" s="1512"/>
      <c r="J211" s="1512"/>
      <c r="K211" s="1635" t="str">
        <f t="shared" si="12"/>
        <v/>
      </c>
      <c r="L211" s="1633"/>
      <c r="M211" s="1512"/>
      <c r="N211" s="1513" t="str">
        <f t="shared" si="13"/>
        <v/>
      </c>
      <c r="O211" s="1682" t="str">
        <f t="shared" si="14"/>
        <v/>
      </c>
      <c r="P211" s="1512"/>
      <c r="Q211" s="1513" t="str">
        <f t="shared" si="15"/>
        <v/>
      </c>
      <c r="R211" s="1683" t="str">
        <f t="shared" si="16"/>
        <v/>
      </c>
      <c r="S211" s="1512"/>
      <c r="T211" s="1513" t="str">
        <f t="shared" si="17"/>
        <v/>
      </c>
      <c r="U211" s="1512"/>
      <c r="V211" s="1512"/>
      <c r="W211" s="1638"/>
      <c r="X211" s="955"/>
      <c r="Y211" s="955"/>
      <c r="Z211" s="955"/>
      <c r="AA211" s="955"/>
      <c r="AB211" s="955"/>
      <c r="AC211" s="955"/>
      <c r="AD211" s="955"/>
      <c r="AE211" s="955"/>
      <c r="AF211" s="955"/>
      <c r="AG211" s="955"/>
      <c r="AH211" s="955"/>
      <c r="AI211" s="955"/>
      <c r="AJ211" s="955"/>
      <c r="AK211" s="955"/>
      <c r="AL211" s="955"/>
      <c r="AM211" s="955"/>
      <c r="AN211" s="955"/>
      <c r="AO211" s="955"/>
      <c r="AP211" s="955"/>
      <c r="AQ211" s="955"/>
      <c r="AR211" s="955"/>
      <c r="AS211" s="955"/>
    </row>
    <row r="212" spans="2:45" s="1514" customFormat="1" x14ac:dyDescent="0.2">
      <c r="B212" s="1640"/>
      <c r="C212" s="1517"/>
      <c r="D212" s="1516"/>
      <c r="E212" s="1518"/>
      <c r="F212" s="1510"/>
      <c r="G212" s="1510"/>
      <c r="H212" s="1510"/>
      <c r="I212" s="1512"/>
      <c r="J212" s="1512"/>
      <c r="K212" s="1635" t="str">
        <f t="shared" si="12"/>
        <v/>
      </c>
      <c r="L212" s="1633"/>
      <c r="M212" s="1512"/>
      <c r="N212" s="1513" t="str">
        <f t="shared" si="13"/>
        <v/>
      </c>
      <c r="O212" s="1682" t="str">
        <f t="shared" si="14"/>
        <v/>
      </c>
      <c r="P212" s="1512"/>
      <c r="Q212" s="1513" t="str">
        <f t="shared" si="15"/>
        <v/>
      </c>
      <c r="R212" s="1683" t="str">
        <f t="shared" si="16"/>
        <v/>
      </c>
      <c r="S212" s="1512"/>
      <c r="T212" s="1513" t="str">
        <f t="shared" si="17"/>
        <v/>
      </c>
      <c r="U212" s="1512"/>
      <c r="V212" s="1512"/>
      <c r="W212" s="1638"/>
      <c r="X212" s="955"/>
      <c r="Y212" s="955"/>
      <c r="Z212" s="955"/>
      <c r="AA212" s="955"/>
      <c r="AB212" s="955"/>
      <c r="AC212" s="955"/>
      <c r="AD212" s="955"/>
      <c r="AE212" s="955"/>
      <c r="AF212" s="955"/>
      <c r="AG212" s="955"/>
      <c r="AH212" s="955"/>
      <c r="AI212" s="955"/>
      <c r="AJ212" s="955"/>
      <c r="AK212" s="955"/>
      <c r="AL212" s="955"/>
      <c r="AM212" s="955"/>
      <c r="AN212" s="955"/>
      <c r="AO212" s="955"/>
      <c r="AP212" s="955"/>
      <c r="AQ212" s="955"/>
      <c r="AR212" s="955"/>
      <c r="AS212" s="955"/>
    </row>
    <row r="213" spans="2:45" s="1514" customFormat="1" x14ac:dyDescent="0.2">
      <c r="B213" s="1640"/>
      <c r="C213" s="1517"/>
      <c r="D213" s="1516"/>
      <c r="E213" s="1518"/>
      <c r="F213" s="1510"/>
      <c r="G213" s="1510"/>
      <c r="H213" s="1510"/>
      <c r="I213" s="1512"/>
      <c r="J213" s="1512"/>
      <c r="K213" s="1635" t="str">
        <f t="shared" si="12"/>
        <v/>
      </c>
      <c r="L213" s="1633"/>
      <c r="M213" s="1512"/>
      <c r="N213" s="1513" t="str">
        <f t="shared" si="13"/>
        <v/>
      </c>
      <c r="O213" s="1682" t="str">
        <f t="shared" si="14"/>
        <v/>
      </c>
      <c r="P213" s="1512"/>
      <c r="Q213" s="1513" t="str">
        <f t="shared" si="15"/>
        <v/>
      </c>
      <c r="R213" s="1683" t="str">
        <f t="shared" si="16"/>
        <v/>
      </c>
      <c r="S213" s="1512"/>
      <c r="T213" s="1513" t="str">
        <f t="shared" si="17"/>
        <v/>
      </c>
      <c r="U213" s="1512"/>
      <c r="V213" s="1512"/>
      <c r="W213" s="1638"/>
      <c r="X213" s="955"/>
      <c r="Y213" s="955"/>
      <c r="Z213" s="955"/>
      <c r="AA213" s="955"/>
      <c r="AB213" s="955"/>
      <c r="AC213" s="955"/>
      <c r="AD213" s="955"/>
      <c r="AE213" s="955"/>
      <c r="AF213" s="955"/>
      <c r="AG213" s="955"/>
      <c r="AH213" s="955"/>
      <c r="AI213" s="955"/>
      <c r="AJ213" s="955"/>
      <c r="AK213" s="955"/>
      <c r="AL213" s="955"/>
      <c r="AM213" s="955"/>
      <c r="AN213" s="955"/>
      <c r="AO213" s="955"/>
      <c r="AP213" s="955"/>
      <c r="AQ213" s="955"/>
      <c r="AR213" s="955"/>
      <c r="AS213" s="955"/>
    </row>
    <row r="214" spans="2:45" s="1514" customFormat="1" x14ac:dyDescent="0.2">
      <c r="B214" s="1640"/>
      <c r="C214" s="1517"/>
      <c r="D214" s="1516"/>
      <c r="E214" s="1518"/>
      <c r="F214" s="1510"/>
      <c r="G214" s="1510"/>
      <c r="H214" s="1510"/>
      <c r="I214" s="1512"/>
      <c r="J214" s="1512"/>
      <c r="K214" s="1635" t="str">
        <f t="shared" si="12"/>
        <v/>
      </c>
      <c r="L214" s="1633"/>
      <c r="M214" s="1512"/>
      <c r="N214" s="1513" t="str">
        <f t="shared" si="13"/>
        <v/>
      </c>
      <c r="O214" s="1682" t="str">
        <f t="shared" si="14"/>
        <v/>
      </c>
      <c r="P214" s="1512"/>
      <c r="Q214" s="1513" t="str">
        <f t="shared" si="15"/>
        <v/>
      </c>
      <c r="R214" s="1683" t="str">
        <f t="shared" si="16"/>
        <v/>
      </c>
      <c r="S214" s="1512"/>
      <c r="T214" s="1513" t="str">
        <f t="shared" si="17"/>
        <v/>
      </c>
      <c r="U214" s="1512"/>
      <c r="V214" s="1512"/>
      <c r="W214" s="1638"/>
      <c r="X214" s="955"/>
      <c r="Y214" s="955"/>
      <c r="Z214" s="955"/>
      <c r="AA214" s="955"/>
      <c r="AB214" s="955"/>
      <c r="AC214" s="955"/>
      <c r="AD214" s="955"/>
      <c r="AE214" s="955"/>
      <c r="AF214" s="955"/>
      <c r="AG214" s="955"/>
      <c r="AH214" s="955"/>
      <c r="AI214" s="955"/>
      <c r="AJ214" s="955"/>
      <c r="AK214" s="955"/>
      <c r="AL214" s="955"/>
      <c r="AM214" s="955"/>
      <c r="AN214" s="955"/>
      <c r="AO214" s="955"/>
      <c r="AP214" s="955"/>
      <c r="AQ214" s="955"/>
      <c r="AR214" s="955"/>
      <c r="AS214" s="955"/>
    </row>
    <row r="215" spans="2:45" s="1514" customFormat="1" x14ac:dyDescent="0.2">
      <c r="B215" s="1640"/>
      <c r="C215" s="1517"/>
      <c r="D215" s="1516"/>
      <c r="E215" s="1518"/>
      <c r="F215" s="1510"/>
      <c r="G215" s="1510"/>
      <c r="H215" s="1510"/>
      <c r="I215" s="1512"/>
      <c r="J215" s="1512"/>
      <c r="K215" s="1635" t="str">
        <f t="shared" si="12"/>
        <v/>
      </c>
      <c r="L215" s="1633"/>
      <c r="M215" s="1512"/>
      <c r="N215" s="1513" t="str">
        <f t="shared" si="13"/>
        <v/>
      </c>
      <c r="O215" s="1682" t="str">
        <f t="shared" si="14"/>
        <v/>
      </c>
      <c r="P215" s="1512"/>
      <c r="Q215" s="1513" t="str">
        <f t="shared" si="15"/>
        <v/>
      </c>
      <c r="R215" s="1683" t="str">
        <f t="shared" si="16"/>
        <v/>
      </c>
      <c r="S215" s="1512"/>
      <c r="T215" s="1513" t="str">
        <f t="shared" si="17"/>
        <v/>
      </c>
      <c r="U215" s="1512"/>
      <c r="V215" s="1512"/>
      <c r="W215" s="1638"/>
      <c r="X215" s="955"/>
      <c r="Y215" s="955"/>
      <c r="Z215" s="955"/>
      <c r="AA215" s="955"/>
      <c r="AB215" s="955"/>
      <c r="AC215" s="955"/>
      <c r="AD215" s="955"/>
      <c r="AE215" s="955"/>
      <c r="AF215" s="955"/>
      <c r="AG215" s="955"/>
      <c r="AH215" s="955"/>
      <c r="AI215" s="955"/>
      <c r="AJ215" s="955"/>
      <c r="AK215" s="955"/>
      <c r="AL215" s="955"/>
      <c r="AM215" s="955"/>
      <c r="AN215" s="955"/>
      <c r="AO215" s="955"/>
      <c r="AP215" s="955"/>
      <c r="AQ215" s="955"/>
      <c r="AR215" s="955"/>
      <c r="AS215" s="955"/>
    </row>
    <row r="216" spans="2:45" s="1514" customFormat="1" x14ac:dyDescent="0.2">
      <c r="B216" s="1640"/>
      <c r="C216" s="1517"/>
      <c r="D216" s="1516"/>
      <c r="E216" s="1518"/>
      <c r="F216" s="1510"/>
      <c r="G216" s="1510"/>
      <c r="H216" s="1510"/>
      <c r="I216" s="1512"/>
      <c r="J216" s="1512"/>
      <c r="K216" s="1635" t="str">
        <f t="shared" si="12"/>
        <v/>
      </c>
      <c r="L216" s="1633"/>
      <c r="M216" s="1512"/>
      <c r="N216" s="1513" t="str">
        <f t="shared" si="13"/>
        <v/>
      </c>
      <c r="O216" s="1682" t="str">
        <f t="shared" si="14"/>
        <v/>
      </c>
      <c r="P216" s="1512"/>
      <c r="Q216" s="1513" t="str">
        <f t="shared" si="15"/>
        <v/>
      </c>
      <c r="R216" s="1683" t="str">
        <f t="shared" si="16"/>
        <v/>
      </c>
      <c r="S216" s="1512"/>
      <c r="T216" s="1513" t="str">
        <f t="shared" si="17"/>
        <v/>
      </c>
      <c r="U216" s="1512"/>
      <c r="V216" s="1512"/>
      <c r="W216" s="1638"/>
      <c r="X216" s="955"/>
      <c r="Y216" s="955"/>
      <c r="Z216" s="955"/>
      <c r="AA216" s="955"/>
      <c r="AB216" s="955"/>
      <c r="AC216" s="955"/>
      <c r="AD216" s="955"/>
      <c r="AE216" s="955"/>
      <c r="AF216" s="955"/>
      <c r="AG216" s="955"/>
      <c r="AH216" s="955"/>
      <c r="AI216" s="955"/>
      <c r="AJ216" s="955"/>
      <c r="AK216" s="955"/>
      <c r="AL216" s="955"/>
      <c r="AM216" s="955"/>
      <c r="AN216" s="955"/>
      <c r="AO216" s="955"/>
      <c r="AP216" s="955"/>
      <c r="AQ216" s="955"/>
      <c r="AR216" s="955"/>
      <c r="AS216" s="955"/>
    </row>
    <row r="217" spans="2:45" s="1514" customFormat="1" x14ac:dyDescent="0.2">
      <c r="B217" s="1640"/>
      <c r="C217" s="1517"/>
      <c r="D217" s="1516"/>
      <c r="E217" s="1518"/>
      <c r="F217" s="1510"/>
      <c r="G217" s="1510"/>
      <c r="H217" s="1510"/>
      <c r="I217" s="1512"/>
      <c r="J217" s="1512"/>
      <c r="K217" s="1635" t="str">
        <f t="shared" si="12"/>
        <v/>
      </c>
      <c r="L217" s="1633"/>
      <c r="M217" s="1512"/>
      <c r="N217" s="1513" t="str">
        <f t="shared" si="13"/>
        <v/>
      </c>
      <c r="O217" s="1682" t="str">
        <f t="shared" si="14"/>
        <v/>
      </c>
      <c r="P217" s="1512"/>
      <c r="Q217" s="1513" t="str">
        <f t="shared" si="15"/>
        <v/>
      </c>
      <c r="R217" s="1683" t="str">
        <f t="shared" si="16"/>
        <v/>
      </c>
      <c r="S217" s="1512"/>
      <c r="T217" s="1513" t="str">
        <f t="shared" si="17"/>
        <v/>
      </c>
      <c r="U217" s="1512"/>
      <c r="V217" s="1512"/>
      <c r="W217" s="1638"/>
      <c r="X217" s="955"/>
      <c r="Y217" s="955"/>
      <c r="Z217" s="955"/>
      <c r="AA217" s="955"/>
      <c r="AB217" s="955"/>
      <c r="AC217" s="955"/>
      <c r="AD217" s="955"/>
      <c r="AE217" s="955"/>
      <c r="AF217" s="955"/>
      <c r="AG217" s="955"/>
      <c r="AH217" s="955"/>
      <c r="AI217" s="955"/>
      <c r="AJ217" s="955"/>
      <c r="AK217" s="955"/>
      <c r="AL217" s="955"/>
      <c r="AM217" s="955"/>
      <c r="AN217" s="955"/>
      <c r="AO217" s="955"/>
      <c r="AP217" s="955"/>
      <c r="AQ217" s="955"/>
      <c r="AR217" s="955"/>
      <c r="AS217" s="955"/>
    </row>
    <row r="218" spans="2:45" s="1514" customFormat="1" x14ac:dyDescent="0.2">
      <c r="B218" s="1640"/>
      <c r="C218" s="1517"/>
      <c r="D218" s="1516"/>
      <c r="E218" s="1518"/>
      <c r="F218" s="1510"/>
      <c r="G218" s="1510"/>
      <c r="H218" s="1510"/>
      <c r="I218" s="1512"/>
      <c r="J218" s="1512"/>
      <c r="K218" s="1635" t="str">
        <f t="shared" ref="K218:K281" si="18">IF(AND(I218=0,J218=0),"",IF(J218&lt;&gt;0,IF(J218&gt;I218,100,J218/I218*100),0))</f>
        <v/>
      </c>
      <c r="L218" s="1633"/>
      <c r="M218" s="1512"/>
      <c r="N218" s="1513" t="str">
        <f t="shared" ref="N218:N281" si="19">IF(AND(L218=0,M218=0),"",IF(M218&lt;&gt;0,IF(M218&gt;L218,100,M218/L218*100),0))</f>
        <v/>
      </c>
      <c r="O218" s="1682" t="str">
        <f t="shared" ref="O218:O281" si="20">IF(L218="","",L218)</f>
        <v/>
      </c>
      <c r="P218" s="1512"/>
      <c r="Q218" s="1513" t="str">
        <f t="shared" ref="Q218:Q281" si="21">IF(O218="","",IF(AND(O218=0,P218=0),0,IF(P218&lt;&gt;0,IF(P218&gt;O218,100,P218/O218*100),0)))</f>
        <v/>
      </c>
      <c r="R218" s="1683" t="str">
        <f t="shared" ref="R218:R281" si="22">IF(P218="","",P218)</f>
        <v/>
      </c>
      <c r="S218" s="1512"/>
      <c r="T218" s="1513" t="str">
        <f t="shared" ref="T218:T281" si="23">IF(R218="","",IF(AND(R218=0,S218=0),0,IF(S218&lt;&gt;0,IF(S218&gt;R218,100,S218/R218*100),0)))</f>
        <v/>
      </c>
      <c r="U218" s="1512"/>
      <c r="V218" s="1512"/>
      <c r="W218" s="1638"/>
      <c r="X218" s="955"/>
      <c r="Y218" s="955"/>
      <c r="Z218" s="955"/>
      <c r="AA218" s="955"/>
      <c r="AB218" s="955"/>
      <c r="AC218" s="955"/>
      <c r="AD218" s="955"/>
      <c r="AE218" s="955"/>
      <c r="AF218" s="955"/>
      <c r="AG218" s="955"/>
      <c r="AH218" s="955"/>
      <c r="AI218" s="955"/>
      <c r="AJ218" s="955"/>
      <c r="AK218" s="955"/>
      <c r="AL218" s="955"/>
      <c r="AM218" s="955"/>
      <c r="AN218" s="955"/>
      <c r="AO218" s="955"/>
      <c r="AP218" s="955"/>
      <c r="AQ218" s="955"/>
      <c r="AR218" s="955"/>
      <c r="AS218" s="955"/>
    </row>
    <row r="219" spans="2:45" s="1514" customFormat="1" x14ac:dyDescent="0.2">
      <c r="B219" s="1640"/>
      <c r="C219" s="1517"/>
      <c r="D219" s="1516"/>
      <c r="E219" s="1518"/>
      <c r="F219" s="1510"/>
      <c r="G219" s="1510"/>
      <c r="H219" s="1510"/>
      <c r="I219" s="1512"/>
      <c r="J219" s="1512"/>
      <c r="K219" s="1635" t="str">
        <f t="shared" si="18"/>
        <v/>
      </c>
      <c r="L219" s="1633"/>
      <c r="M219" s="1512"/>
      <c r="N219" s="1513" t="str">
        <f t="shared" si="19"/>
        <v/>
      </c>
      <c r="O219" s="1682" t="str">
        <f t="shared" si="20"/>
        <v/>
      </c>
      <c r="P219" s="1512"/>
      <c r="Q219" s="1513" t="str">
        <f t="shared" si="21"/>
        <v/>
      </c>
      <c r="R219" s="1683" t="str">
        <f t="shared" si="22"/>
        <v/>
      </c>
      <c r="S219" s="1512"/>
      <c r="T219" s="1513" t="str">
        <f t="shared" si="23"/>
        <v/>
      </c>
      <c r="U219" s="1512"/>
      <c r="V219" s="1512"/>
      <c r="W219" s="1638"/>
      <c r="X219" s="955"/>
      <c r="Y219" s="955"/>
      <c r="Z219" s="955"/>
      <c r="AA219" s="955"/>
      <c r="AB219" s="955"/>
      <c r="AC219" s="955"/>
      <c r="AD219" s="955"/>
      <c r="AE219" s="955"/>
      <c r="AF219" s="955"/>
      <c r="AG219" s="955"/>
      <c r="AH219" s="955"/>
      <c r="AI219" s="955"/>
      <c r="AJ219" s="955"/>
      <c r="AK219" s="955"/>
      <c r="AL219" s="955"/>
      <c r="AM219" s="955"/>
      <c r="AN219" s="955"/>
      <c r="AO219" s="955"/>
      <c r="AP219" s="955"/>
      <c r="AQ219" s="955"/>
      <c r="AR219" s="955"/>
      <c r="AS219" s="955"/>
    </row>
    <row r="220" spans="2:45" s="1514" customFormat="1" x14ac:dyDescent="0.2">
      <c r="B220" s="1640"/>
      <c r="C220" s="1517"/>
      <c r="D220" s="1516"/>
      <c r="E220" s="1518"/>
      <c r="F220" s="1510"/>
      <c r="G220" s="1510"/>
      <c r="H220" s="1510"/>
      <c r="I220" s="1512"/>
      <c r="J220" s="1512"/>
      <c r="K220" s="1635" t="str">
        <f t="shared" si="18"/>
        <v/>
      </c>
      <c r="L220" s="1633"/>
      <c r="M220" s="1512"/>
      <c r="N220" s="1513" t="str">
        <f t="shared" si="19"/>
        <v/>
      </c>
      <c r="O220" s="1682" t="str">
        <f t="shared" si="20"/>
        <v/>
      </c>
      <c r="P220" s="1512"/>
      <c r="Q220" s="1513" t="str">
        <f t="shared" si="21"/>
        <v/>
      </c>
      <c r="R220" s="1683" t="str">
        <f t="shared" si="22"/>
        <v/>
      </c>
      <c r="S220" s="1512"/>
      <c r="T220" s="1513" t="str">
        <f t="shared" si="23"/>
        <v/>
      </c>
      <c r="U220" s="1512"/>
      <c r="V220" s="1512"/>
      <c r="W220" s="1638"/>
      <c r="X220" s="955"/>
      <c r="Y220" s="955"/>
      <c r="Z220" s="955"/>
      <c r="AA220" s="955"/>
      <c r="AB220" s="955"/>
      <c r="AC220" s="955"/>
      <c r="AD220" s="955"/>
      <c r="AE220" s="955"/>
      <c r="AF220" s="955"/>
      <c r="AG220" s="955"/>
      <c r="AH220" s="955"/>
      <c r="AI220" s="955"/>
      <c r="AJ220" s="955"/>
      <c r="AK220" s="955"/>
      <c r="AL220" s="955"/>
      <c r="AM220" s="955"/>
      <c r="AN220" s="955"/>
      <c r="AO220" s="955"/>
      <c r="AP220" s="955"/>
      <c r="AQ220" s="955"/>
      <c r="AR220" s="955"/>
      <c r="AS220" s="955"/>
    </row>
    <row r="221" spans="2:45" s="1514" customFormat="1" x14ac:dyDescent="0.2">
      <c r="B221" s="1640"/>
      <c r="C221" s="1517"/>
      <c r="D221" s="1516"/>
      <c r="E221" s="1518"/>
      <c r="F221" s="1510"/>
      <c r="G221" s="1510"/>
      <c r="H221" s="1510"/>
      <c r="I221" s="1512"/>
      <c r="J221" s="1512"/>
      <c r="K221" s="1635" t="str">
        <f t="shared" si="18"/>
        <v/>
      </c>
      <c r="L221" s="1633"/>
      <c r="M221" s="1512"/>
      <c r="N221" s="1513" t="str">
        <f t="shared" si="19"/>
        <v/>
      </c>
      <c r="O221" s="1682" t="str">
        <f t="shared" si="20"/>
        <v/>
      </c>
      <c r="P221" s="1512"/>
      <c r="Q221" s="1513" t="str">
        <f t="shared" si="21"/>
        <v/>
      </c>
      <c r="R221" s="1683" t="str">
        <f t="shared" si="22"/>
        <v/>
      </c>
      <c r="S221" s="1512"/>
      <c r="T221" s="1513" t="str">
        <f t="shared" si="23"/>
        <v/>
      </c>
      <c r="U221" s="1512"/>
      <c r="V221" s="1512"/>
      <c r="W221" s="1638"/>
      <c r="X221" s="955"/>
      <c r="Y221" s="955"/>
      <c r="Z221" s="955"/>
      <c r="AA221" s="955"/>
      <c r="AB221" s="955"/>
      <c r="AC221" s="955"/>
      <c r="AD221" s="955"/>
      <c r="AE221" s="955"/>
      <c r="AF221" s="955"/>
      <c r="AG221" s="955"/>
      <c r="AH221" s="955"/>
      <c r="AI221" s="955"/>
      <c r="AJ221" s="955"/>
      <c r="AK221" s="955"/>
      <c r="AL221" s="955"/>
      <c r="AM221" s="955"/>
      <c r="AN221" s="955"/>
      <c r="AO221" s="955"/>
      <c r="AP221" s="955"/>
      <c r="AQ221" s="955"/>
      <c r="AR221" s="955"/>
      <c r="AS221" s="955"/>
    </row>
    <row r="222" spans="2:45" s="1514" customFormat="1" x14ac:dyDescent="0.2">
      <c r="B222" s="1640"/>
      <c r="C222" s="1517"/>
      <c r="D222" s="1516"/>
      <c r="E222" s="1518"/>
      <c r="F222" s="1510"/>
      <c r="G222" s="1510"/>
      <c r="H222" s="1510"/>
      <c r="I222" s="1512"/>
      <c r="J222" s="1512"/>
      <c r="K222" s="1635" t="str">
        <f t="shared" si="18"/>
        <v/>
      </c>
      <c r="L222" s="1633"/>
      <c r="M222" s="1512"/>
      <c r="N222" s="1513" t="str">
        <f t="shared" si="19"/>
        <v/>
      </c>
      <c r="O222" s="1682" t="str">
        <f t="shared" si="20"/>
        <v/>
      </c>
      <c r="P222" s="1512"/>
      <c r="Q222" s="1513" t="str">
        <f t="shared" si="21"/>
        <v/>
      </c>
      <c r="R222" s="1683" t="str">
        <f t="shared" si="22"/>
        <v/>
      </c>
      <c r="S222" s="1512"/>
      <c r="T222" s="1513" t="str">
        <f t="shared" si="23"/>
        <v/>
      </c>
      <c r="U222" s="1512"/>
      <c r="V222" s="1512"/>
      <c r="W222" s="1638"/>
      <c r="X222" s="955"/>
      <c r="Y222" s="955"/>
      <c r="Z222" s="955"/>
      <c r="AA222" s="955"/>
      <c r="AB222" s="955"/>
      <c r="AC222" s="955"/>
      <c r="AD222" s="955"/>
      <c r="AE222" s="955"/>
      <c r="AF222" s="955"/>
      <c r="AG222" s="955"/>
      <c r="AH222" s="955"/>
      <c r="AI222" s="955"/>
      <c r="AJ222" s="955"/>
      <c r="AK222" s="955"/>
      <c r="AL222" s="955"/>
      <c r="AM222" s="955"/>
      <c r="AN222" s="955"/>
      <c r="AO222" s="955"/>
      <c r="AP222" s="955"/>
      <c r="AQ222" s="955"/>
      <c r="AR222" s="955"/>
      <c r="AS222" s="955"/>
    </row>
    <row r="223" spans="2:45" s="1514" customFormat="1" x14ac:dyDescent="0.2">
      <c r="B223" s="1640"/>
      <c r="C223" s="1517"/>
      <c r="D223" s="1516"/>
      <c r="E223" s="1518"/>
      <c r="F223" s="1510"/>
      <c r="G223" s="1510"/>
      <c r="H223" s="1510"/>
      <c r="I223" s="1512"/>
      <c r="J223" s="1512"/>
      <c r="K223" s="1635" t="str">
        <f t="shared" si="18"/>
        <v/>
      </c>
      <c r="L223" s="1633"/>
      <c r="M223" s="1512"/>
      <c r="N223" s="1513" t="str">
        <f t="shared" si="19"/>
        <v/>
      </c>
      <c r="O223" s="1682" t="str">
        <f t="shared" si="20"/>
        <v/>
      </c>
      <c r="P223" s="1512"/>
      <c r="Q223" s="1513" t="str">
        <f t="shared" si="21"/>
        <v/>
      </c>
      <c r="R223" s="1683" t="str">
        <f t="shared" si="22"/>
        <v/>
      </c>
      <c r="S223" s="1512"/>
      <c r="T223" s="1513" t="str">
        <f t="shared" si="23"/>
        <v/>
      </c>
      <c r="U223" s="1512"/>
      <c r="V223" s="1512"/>
      <c r="W223" s="1638"/>
      <c r="X223" s="955"/>
      <c r="Y223" s="955"/>
      <c r="Z223" s="955"/>
      <c r="AA223" s="955"/>
      <c r="AB223" s="955"/>
      <c r="AC223" s="955"/>
      <c r="AD223" s="955"/>
      <c r="AE223" s="955"/>
      <c r="AF223" s="955"/>
      <c r="AG223" s="955"/>
      <c r="AH223" s="955"/>
      <c r="AI223" s="955"/>
      <c r="AJ223" s="955"/>
      <c r="AK223" s="955"/>
      <c r="AL223" s="955"/>
      <c r="AM223" s="955"/>
      <c r="AN223" s="955"/>
      <c r="AO223" s="955"/>
      <c r="AP223" s="955"/>
      <c r="AQ223" s="955"/>
      <c r="AR223" s="955"/>
      <c r="AS223" s="955"/>
    </row>
    <row r="224" spans="2:45" s="1514" customFormat="1" x14ac:dyDescent="0.2">
      <c r="B224" s="1640"/>
      <c r="C224" s="1517"/>
      <c r="D224" s="1516"/>
      <c r="E224" s="1518"/>
      <c r="F224" s="1510"/>
      <c r="G224" s="1510"/>
      <c r="H224" s="1510"/>
      <c r="I224" s="1512"/>
      <c r="J224" s="1512"/>
      <c r="K224" s="1635" t="str">
        <f t="shared" si="18"/>
        <v/>
      </c>
      <c r="L224" s="1633"/>
      <c r="M224" s="1512"/>
      <c r="N224" s="1513" t="str">
        <f t="shared" si="19"/>
        <v/>
      </c>
      <c r="O224" s="1682" t="str">
        <f t="shared" si="20"/>
        <v/>
      </c>
      <c r="P224" s="1512"/>
      <c r="Q224" s="1513" t="str">
        <f t="shared" si="21"/>
        <v/>
      </c>
      <c r="R224" s="1683" t="str">
        <f t="shared" si="22"/>
        <v/>
      </c>
      <c r="S224" s="1512"/>
      <c r="T224" s="1513" t="str">
        <f t="shared" si="23"/>
        <v/>
      </c>
      <c r="U224" s="1512"/>
      <c r="V224" s="1512"/>
      <c r="W224" s="1638"/>
      <c r="X224" s="955"/>
      <c r="Y224" s="955"/>
      <c r="Z224" s="955"/>
      <c r="AA224" s="955"/>
      <c r="AB224" s="955"/>
      <c r="AC224" s="955"/>
      <c r="AD224" s="955"/>
      <c r="AE224" s="955"/>
      <c r="AF224" s="955"/>
      <c r="AG224" s="955"/>
      <c r="AH224" s="955"/>
      <c r="AI224" s="955"/>
      <c r="AJ224" s="955"/>
      <c r="AK224" s="955"/>
      <c r="AL224" s="955"/>
      <c r="AM224" s="955"/>
      <c r="AN224" s="955"/>
      <c r="AO224" s="955"/>
      <c r="AP224" s="955"/>
      <c r="AQ224" s="955"/>
      <c r="AR224" s="955"/>
      <c r="AS224" s="955"/>
    </row>
    <row r="225" spans="2:45" s="1514" customFormat="1" x14ac:dyDescent="0.2">
      <c r="B225" s="1640"/>
      <c r="C225" s="1517"/>
      <c r="D225" s="1516"/>
      <c r="E225" s="1518"/>
      <c r="F225" s="1510"/>
      <c r="G225" s="1510"/>
      <c r="H225" s="1510"/>
      <c r="I225" s="1512"/>
      <c r="J225" s="1512"/>
      <c r="K225" s="1635" t="str">
        <f t="shared" si="18"/>
        <v/>
      </c>
      <c r="L225" s="1633"/>
      <c r="M225" s="1512"/>
      <c r="N225" s="1513" t="str">
        <f t="shared" si="19"/>
        <v/>
      </c>
      <c r="O225" s="1682" t="str">
        <f t="shared" si="20"/>
        <v/>
      </c>
      <c r="P225" s="1512"/>
      <c r="Q225" s="1513" t="str">
        <f t="shared" si="21"/>
        <v/>
      </c>
      <c r="R225" s="1683" t="str">
        <f t="shared" si="22"/>
        <v/>
      </c>
      <c r="S225" s="1512"/>
      <c r="T225" s="1513" t="str">
        <f t="shared" si="23"/>
        <v/>
      </c>
      <c r="U225" s="1512"/>
      <c r="V225" s="1512"/>
      <c r="W225" s="1638"/>
      <c r="X225" s="955"/>
      <c r="Y225" s="955"/>
      <c r="Z225" s="955"/>
      <c r="AA225" s="955"/>
      <c r="AB225" s="955"/>
      <c r="AC225" s="955"/>
      <c r="AD225" s="955"/>
      <c r="AE225" s="955"/>
      <c r="AF225" s="955"/>
      <c r="AG225" s="955"/>
      <c r="AH225" s="955"/>
      <c r="AI225" s="955"/>
      <c r="AJ225" s="955"/>
      <c r="AK225" s="955"/>
      <c r="AL225" s="955"/>
      <c r="AM225" s="955"/>
      <c r="AN225" s="955"/>
      <c r="AO225" s="955"/>
      <c r="AP225" s="955"/>
      <c r="AQ225" s="955"/>
      <c r="AR225" s="955"/>
      <c r="AS225" s="955"/>
    </row>
    <row r="226" spans="2:45" s="1514" customFormat="1" x14ac:dyDescent="0.2">
      <c r="B226" s="1640"/>
      <c r="C226" s="1517"/>
      <c r="D226" s="1516"/>
      <c r="E226" s="1518"/>
      <c r="F226" s="1510"/>
      <c r="G226" s="1510"/>
      <c r="H226" s="1510"/>
      <c r="I226" s="1512"/>
      <c r="J226" s="1512"/>
      <c r="K226" s="1635" t="str">
        <f t="shared" si="18"/>
        <v/>
      </c>
      <c r="L226" s="1633"/>
      <c r="M226" s="1512"/>
      <c r="N226" s="1513" t="str">
        <f t="shared" si="19"/>
        <v/>
      </c>
      <c r="O226" s="1682" t="str">
        <f t="shared" si="20"/>
        <v/>
      </c>
      <c r="P226" s="1512"/>
      <c r="Q226" s="1513" t="str">
        <f t="shared" si="21"/>
        <v/>
      </c>
      <c r="R226" s="1683" t="str">
        <f t="shared" si="22"/>
        <v/>
      </c>
      <c r="S226" s="1512"/>
      <c r="T226" s="1513" t="str">
        <f t="shared" si="23"/>
        <v/>
      </c>
      <c r="U226" s="1512"/>
      <c r="V226" s="1512"/>
      <c r="W226" s="1638"/>
      <c r="X226" s="955"/>
      <c r="Y226" s="955"/>
      <c r="Z226" s="955"/>
      <c r="AA226" s="955"/>
      <c r="AB226" s="955"/>
      <c r="AC226" s="955"/>
      <c r="AD226" s="955"/>
      <c r="AE226" s="955"/>
      <c r="AF226" s="955"/>
      <c r="AG226" s="955"/>
      <c r="AH226" s="955"/>
      <c r="AI226" s="955"/>
      <c r="AJ226" s="955"/>
      <c r="AK226" s="955"/>
      <c r="AL226" s="955"/>
      <c r="AM226" s="955"/>
      <c r="AN226" s="955"/>
      <c r="AO226" s="955"/>
      <c r="AP226" s="955"/>
      <c r="AQ226" s="955"/>
      <c r="AR226" s="955"/>
      <c r="AS226" s="955"/>
    </row>
    <row r="227" spans="2:45" s="1514" customFormat="1" x14ac:dyDescent="0.2">
      <c r="B227" s="1640"/>
      <c r="C227" s="1517"/>
      <c r="D227" s="1516"/>
      <c r="E227" s="1518"/>
      <c r="F227" s="1510"/>
      <c r="G227" s="1510"/>
      <c r="H227" s="1510"/>
      <c r="I227" s="1512"/>
      <c r="J227" s="1512"/>
      <c r="K227" s="1635" t="str">
        <f t="shared" si="18"/>
        <v/>
      </c>
      <c r="L227" s="1633"/>
      <c r="M227" s="1512"/>
      <c r="N227" s="1513" t="str">
        <f t="shared" si="19"/>
        <v/>
      </c>
      <c r="O227" s="1682" t="str">
        <f t="shared" si="20"/>
        <v/>
      </c>
      <c r="P227" s="1512"/>
      <c r="Q227" s="1513" t="str">
        <f t="shared" si="21"/>
        <v/>
      </c>
      <c r="R227" s="1683" t="str">
        <f t="shared" si="22"/>
        <v/>
      </c>
      <c r="S227" s="1512"/>
      <c r="T227" s="1513" t="str">
        <f t="shared" si="23"/>
        <v/>
      </c>
      <c r="U227" s="1512"/>
      <c r="V227" s="1512"/>
      <c r="W227" s="1638"/>
      <c r="X227" s="955"/>
      <c r="Y227" s="955"/>
      <c r="Z227" s="955"/>
      <c r="AA227" s="955"/>
      <c r="AB227" s="955"/>
      <c r="AC227" s="955"/>
      <c r="AD227" s="955"/>
      <c r="AE227" s="955"/>
      <c r="AF227" s="955"/>
      <c r="AG227" s="955"/>
      <c r="AH227" s="955"/>
      <c r="AI227" s="955"/>
      <c r="AJ227" s="955"/>
      <c r="AK227" s="955"/>
      <c r="AL227" s="955"/>
      <c r="AM227" s="955"/>
      <c r="AN227" s="955"/>
      <c r="AO227" s="955"/>
      <c r="AP227" s="955"/>
      <c r="AQ227" s="955"/>
      <c r="AR227" s="955"/>
      <c r="AS227" s="955"/>
    </row>
    <row r="228" spans="2:45" s="1514" customFormat="1" x14ac:dyDescent="0.2">
      <c r="B228" s="1640"/>
      <c r="C228" s="1517"/>
      <c r="D228" s="1516"/>
      <c r="E228" s="1518"/>
      <c r="F228" s="1510"/>
      <c r="G228" s="1510"/>
      <c r="H228" s="1510"/>
      <c r="I228" s="1512"/>
      <c r="J228" s="1512"/>
      <c r="K228" s="1635" t="str">
        <f t="shared" si="18"/>
        <v/>
      </c>
      <c r="L228" s="1633"/>
      <c r="M228" s="1512"/>
      <c r="N228" s="1513" t="str">
        <f t="shared" si="19"/>
        <v/>
      </c>
      <c r="O228" s="1682" t="str">
        <f t="shared" si="20"/>
        <v/>
      </c>
      <c r="P228" s="1512"/>
      <c r="Q228" s="1513" t="str">
        <f t="shared" si="21"/>
        <v/>
      </c>
      <c r="R228" s="1683" t="str">
        <f t="shared" si="22"/>
        <v/>
      </c>
      <c r="S228" s="1512"/>
      <c r="T228" s="1513" t="str">
        <f t="shared" si="23"/>
        <v/>
      </c>
      <c r="U228" s="1512"/>
      <c r="V228" s="1512"/>
      <c r="W228" s="1638"/>
      <c r="X228" s="955"/>
      <c r="Y228" s="955"/>
      <c r="Z228" s="955"/>
      <c r="AA228" s="955"/>
      <c r="AB228" s="955"/>
      <c r="AC228" s="955"/>
      <c r="AD228" s="955"/>
      <c r="AE228" s="955"/>
      <c r="AF228" s="955"/>
      <c r="AG228" s="955"/>
      <c r="AH228" s="955"/>
      <c r="AI228" s="955"/>
      <c r="AJ228" s="955"/>
      <c r="AK228" s="955"/>
      <c r="AL228" s="955"/>
      <c r="AM228" s="955"/>
      <c r="AN228" s="955"/>
      <c r="AO228" s="955"/>
      <c r="AP228" s="955"/>
      <c r="AQ228" s="955"/>
      <c r="AR228" s="955"/>
      <c r="AS228" s="955"/>
    </row>
    <row r="229" spans="2:45" s="1514" customFormat="1" x14ac:dyDescent="0.2">
      <c r="B229" s="1640"/>
      <c r="C229" s="1517"/>
      <c r="D229" s="1516"/>
      <c r="E229" s="1518"/>
      <c r="F229" s="1510"/>
      <c r="G229" s="1510"/>
      <c r="H229" s="1510"/>
      <c r="I229" s="1512"/>
      <c r="J229" s="1512"/>
      <c r="K229" s="1635" t="str">
        <f t="shared" si="18"/>
        <v/>
      </c>
      <c r="L229" s="1633"/>
      <c r="M229" s="1512"/>
      <c r="N229" s="1513" t="str">
        <f t="shared" si="19"/>
        <v/>
      </c>
      <c r="O229" s="1682" t="str">
        <f t="shared" si="20"/>
        <v/>
      </c>
      <c r="P229" s="1512"/>
      <c r="Q229" s="1513" t="str">
        <f t="shared" si="21"/>
        <v/>
      </c>
      <c r="R229" s="1683" t="str">
        <f t="shared" si="22"/>
        <v/>
      </c>
      <c r="S229" s="1512"/>
      <c r="T229" s="1513" t="str">
        <f t="shared" si="23"/>
        <v/>
      </c>
      <c r="U229" s="1512"/>
      <c r="V229" s="1512"/>
      <c r="W229" s="1638"/>
      <c r="X229" s="955"/>
      <c r="Y229" s="955"/>
      <c r="Z229" s="955"/>
      <c r="AA229" s="955"/>
      <c r="AB229" s="955"/>
      <c r="AC229" s="955"/>
      <c r="AD229" s="955"/>
      <c r="AE229" s="955"/>
      <c r="AF229" s="955"/>
      <c r="AG229" s="955"/>
      <c r="AH229" s="955"/>
      <c r="AI229" s="955"/>
      <c r="AJ229" s="955"/>
      <c r="AK229" s="955"/>
      <c r="AL229" s="955"/>
      <c r="AM229" s="955"/>
      <c r="AN229" s="955"/>
      <c r="AO229" s="955"/>
      <c r="AP229" s="955"/>
      <c r="AQ229" s="955"/>
      <c r="AR229" s="955"/>
      <c r="AS229" s="955"/>
    </row>
    <row r="230" spans="2:45" s="1514" customFormat="1" x14ac:dyDescent="0.2">
      <c r="B230" s="1640"/>
      <c r="C230" s="1517"/>
      <c r="D230" s="1516"/>
      <c r="E230" s="1518"/>
      <c r="F230" s="1510"/>
      <c r="G230" s="1510"/>
      <c r="H230" s="1510"/>
      <c r="I230" s="1512"/>
      <c r="J230" s="1512"/>
      <c r="K230" s="1635" t="str">
        <f t="shared" si="18"/>
        <v/>
      </c>
      <c r="L230" s="1633"/>
      <c r="M230" s="1512"/>
      <c r="N230" s="1513" t="str">
        <f t="shared" si="19"/>
        <v/>
      </c>
      <c r="O230" s="1682" t="str">
        <f t="shared" si="20"/>
        <v/>
      </c>
      <c r="P230" s="1512"/>
      <c r="Q230" s="1513" t="str">
        <f t="shared" si="21"/>
        <v/>
      </c>
      <c r="R230" s="1683" t="str">
        <f t="shared" si="22"/>
        <v/>
      </c>
      <c r="S230" s="1512"/>
      <c r="T230" s="1513" t="str">
        <f t="shared" si="23"/>
        <v/>
      </c>
      <c r="U230" s="1512"/>
      <c r="V230" s="1512"/>
      <c r="W230" s="1638"/>
      <c r="X230" s="955"/>
      <c r="Y230" s="955"/>
      <c r="Z230" s="955"/>
      <c r="AA230" s="955"/>
      <c r="AB230" s="955"/>
      <c r="AC230" s="955"/>
      <c r="AD230" s="955"/>
      <c r="AE230" s="955"/>
      <c r="AF230" s="955"/>
      <c r="AG230" s="955"/>
      <c r="AH230" s="955"/>
      <c r="AI230" s="955"/>
      <c r="AJ230" s="955"/>
      <c r="AK230" s="955"/>
      <c r="AL230" s="955"/>
      <c r="AM230" s="955"/>
      <c r="AN230" s="955"/>
      <c r="AO230" s="955"/>
      <c r="AP230" s="955"/>
      <c r="AQ230" s="955"/>
      <c r="AR230" s="955"/>
      <c r="AS230" s="955"/>
    </row>
    <row r="231" spans="2:45" s="1514" customFormat="1" x14ac:dyDescent="0.2">
      <c r="B231" s="1640"/>
      <c r="C231" s="1517"/>
      <c r="D231" s="1516"/>
      <c r="E231" s="1518"/>
      <c r="F231" s="1510"/>
      <c r="G231" s="1510"/>
      <c r="H231" s="1510"/>
      <c r="I231" s="1512"/>
      <c r="J231" s="1512"/>
      <c r="K231" s="1635" t="str">
        <f t="shared" si="18"/>
        <v/>
      </c>
      <c r="L231" s="1633"/>
      <c r="M231" s="1512"/>
      <c r="N231" s="1513" t="str">
        <f t="shared" si="19"/>
        <v/>
      </c>
      <c r="O231" s="1682" t="str">
        <f t="shared" si="20"/>
        <v/>
      </c>
      <c r="P231" s="1512"/>
      <c r="Q231" s="1513" t="str">
        <f t="shared" si="21"/>
        <v/>
      </c>
      <c r="R231" s="1683" t="str">
        <f t="shared" si="22"/>
        <v/>
      </c>
      <c r="S231" s="1512"/>
      <c r="T231" s="1513" t="str">
        <f t="shared" si="23"/>
        <v/>
      </c>
      <c r="U231" s="1512"/>
      <c r="V231" s="1512"/>
      <c r="W231" s="1638"/>
      <c r="X231" s="955"/>
      <c r="Y231" s="955"/>
      <c r="Z231" s="955"/>
      <c r="AA231" s="955"/>
      <c r="AB231" s="955"/>
      <c r="AC231" s="955"/>
      <c r="AD231" s="955"/>
      <c r="AE231" s="955"/>
      <c r="AF231" s="955"/>
      <c r="AG231" s="955"/>
      <c r="AH231" s="955"/>
      <c r="AI231" s="955"/>
      <c r="AJ231" s="955"/>
      <c r="AK231" s="955"/>
      <c r="AL231" s="955"/>
      <c r="AM231" s="955"/>
      <c r="AN231" s="955"/>
      <c r="AO231" s="955"/>
      <c r="AP231" s="955"/>
      <c r="AQ231" s="955"/>
      <c r="AR231" s="955"/>
      <c r="AS231" s="955"/>
    </row>
    <row r="232" spans="2:45" s="1514" customFormat="1" x14ac:dyDescent="0.2">
      <c r="B232" s="1640"/>
      <c r="C232" s="1517"/>
      <c r="D232" s="1516"/>
      <c r="E232" s="1518"/>
      <c r="F232" s="1510"/>
      <c r="G232" s="1510"/>
      <c r="H232" s="1510"/>
      <c r="I232" s="1512"/>
      <c r="J232" s="1512"/>
      <c r="K232" s="1635" t="str">
        <f t="shared" si="18"/>
        <v/>
      </c>
      <c r="L232" s="1633"/>
      <c r="M232" s="1512"/>
      <c r="N232" s="1513" t="str">
        <f t="shared" si="19"/>
        <v/>
      </c>
      <c r="O232" s="1682" t="str">
        <f t="shared" si="20"/>
        <v/>
      </c>
      <c r="P232" s="1512"/>
      <c r="Q232" s="1513" t="str">
        <f t="shared" si="21"/>
        <v/>
      </c>
      <c r="R232" s="1683" t="str">
        <f t="shared" si="22"/>
        <v/>
      </c>
      <c r="S232" s="1512"/>
      <c r="T232" s="1513" t="str">
        <f t="shared" si="23"/>
        <v/>
      </c>
      <c r="U232" s="1512"/>
      <c r="V232" s="1512"/>
      <c r="W232" s="1638"/>
      <c r="X232" s="955"/>
      <c r="Y232" s="955"/>
      <c r="Z232" s="955"/>
      <c r="AA232" s="955"/>
      <c r="AB232" s="955"/>
      <c r="AC232" s="955"/>
      <c r="AD232" s="955"/>
      <c r="AE232" s="955"/>
      <c r="AF232" s="955"/>
      <c r="AG232" s="955"/>
      <c r="AH232" s="955"/>
      <c r="AI232" s="955"/>
      <c r="AJ232" s="955"/>
      <c r="AK232" s="955"/>
      <c r="AL232" s="955"/>
      <c r="AM232" s="955"/>
      <c r="AN232" s="955"/>
      <c r="AO232" s="955"/>
      <c r="AP232" s="955"/>
      <c r="AQ232" s="955"/>
      <c r="AR232" s="955"/>
      <c r="AS232" s="955"/>
    </row>
    <row r="233" spans="2:45" s="1514" customFormat="1" x14ac:dyDescent="0.2">
      <c r="B233" s="1640"/>
      <c r="C233" s="1517"/>
      <c r="D233" s="1516"/>
      <c r="E233" s="1518"/>
      <c r="F233" s="1510"/>
      <c r="G233" s="1510"/>
      <c r="H233" s="1510"/>
      <c r="I233" s="1512"/>
      <c r="J233" s="1512"/>
      <c r="K233" s="1635" t="str">
        <f t="shared" si="18"/>
        <v/>
      </c>
      <c r="L233" s="1633"/>
      <c r="M233" s="1512"/>
      <c r="N233" s="1513" t="str">
        <f t="shared" si="19"/>
        <v/>
      </c>
      <c r="O233" s="1682" t="str">
        <f t="shared" si="20"/>
        <v/>
      </c>
      <c r="P233" s="1512"/>
      <c r="Q233" s="1513" t="str">
        <f t="shared" si="21"/>
        <v/>
      </c>
      <c r="R233" s="1683" t="str">
        <f t="shared" si="22"/>
        <v/>
      </c>
      <c r="S233" s="1512"/>
      <c r="T233" s="1513" t="str">
        <f t="shared" si="23"/>
        <v/>
      </c>
      <c r="U233" s="1512"/>
      <c r="V233" s="1512"/>
      <c r="W233" s="1638"/>
      <c r="X233" s="955"/>
      <c r="Y233" s="955"/>
      <c r="Z233" s="955"/>
      <c r="AA233" s="955"/>
      <c r="AB233" s="955"/>
      <c r="AC233" s="955"/>
      <c r="AD233" s="955"/>
      <c r="AE233" s="955"/>
      <c r="AF233" s="955"/>
      <c r="AG233" s="955"/>
      <c r="AH233" s="955"/>
      <c r="AI233" s="955"/>
      <c r="AJ233" s="955"/>
      <c r="AK233" s="955"/>
      <c r="AL233" s="955"/>
      <c r="AM233" s="955"/>
      <c r="AN233" s="955"/>
      <c r="AO233" s="955"/>
      <c r="AP233" s="955"/>
      <c r="AQ233" s="955"/>
      <c r="AR233" s="955"/>
      <c r="AS233" s="955"/>
    </row>
    <row r="234" spans="2:45" s="1514" customFormat="1" x14ac:dyDescent="0.2">
      <c r="B234" s="1640"/>
      <c r="C234" s="1517"/>
      <c r="D234" s="1516"/>
      <c r="E234" s="1518"/>
      <c r="F234" s="1510"/>
      <c r="G234" s="1510"/>
      <c r="H234" s="1510"/>
      <c r="I234" s="1512"/>
      <c r="J234" s="1512"/>
      <c r="K234" s="1635" t="str">
        <f t="shared" si="18"/>
        <v/>
      </c>
      <c r="L234" s="1633"/>
      <c r="M234" s="1512"/>
      <c r="N234" s="1513" t="str">
        <f t="shared" si="19"/>
        <v/>
      </c>
      <c r="O234" s="1682" t="str">
        <f t="shared" si="20"/>
        <v/>
      </c>
      <c r="P234" s="1512"/>
      <c r="Q234" s="1513" t="str">
        <f t="shared" si="21"/>
        <v/>
      </c>
      <c r="R234" s="1683" t="str">
        <f t="shared" si="22"/>
        <v/>
      </c>
      <c r="S234" s="1512"/>
      <c r="T234" s="1513" t="str">
        <f t="shared" si="23"/>
        <v/>
      </c>
      <c r="U234" s="1512"/>
      <c r="V234" s="1512"/>
      <c r="W234" s="1638"/>
      <c r="X234" s="955"/>
      <c r="Y234" s="955"/>
      <c r="Z234" s="955"/>
      <c r="AA234" s="955"/>
      <c r="AB234" s="955"/>
      <c r="AC234" s="955"/>
      <c r="AD234" s="955"/>
      <c r="AE234" s="955"/>
      <c r="AF234" s="955"/>
      <c r="AG234" s="955"/>
      <c r="AH234" s="955"/>
      <c r="AI234" s="955"/>
      <c r="AJ234" s="955"/>
      <c r="AK234" s="955"/>
      <c r="AL234" s="955"/>
      <c r="AM234" s="955"/>
      <c r="AN234" s="955"/>
      <c r="AO234" s="955"/>
      <c r="AP234" s="955"/>
      <c r="AQ234" s="955"/>
      <c r="AR234" s="955"/>
      <c r="AS234" s="955"/>
    </row>
    <row r="235" spans="2:45" s="1514" customFormat="1" x14ac:dyDescent="0.2">
      <c r="B235" s="1640"/>
      <c r="C235" s="1517"/>
      <c r="D235" s="1516"/>
      <c r="E235" s="1518"/>
      <c r="F235" s="1510"/>
      <c r="G235" s="1510"/>
      <c r="H235" s="1510"/>
      <c r="I235" s="1512"/>
      <c r="J235" s="1512"/>
      <c r="K235" s="1635" t="str">
        <f t="shared" si="18"/>
        <v/>
      </c>
      <c r="L235" s="1633"/>
      <c r="M235" s="1512"/>
      <c r="N235" s="1513" t="str">
        <f t="shared" si="19"/>
        <v/>
      </c>
      <c r="O235" s="1682" t="str">
        <f t="shared" si="20"/>
        <v/>
      </c>
      <c r="P235" s="1512"/>
      <c r="Q235" s="1513" t="str">
        <f t="shared" si="21"/>
        <v/>
      </c>
      <c r="R235" s="1683" t="str">
        <f t="shared" si="22"/>
        <v/>
      </c>
      <c r="S235" s="1512"/>
      <c r="T235" s="1513" t="str">
        <f t="shared" si="23"/>
        <v/>
      </c>
      <c r="U235" s="1512"/>
      <c r="V235" s="1512"/>
      <c r="W235" s="1638"/>
      <c r="X235" s="955"/>
      <c r="Y235" s="955"/>
      <c r="Z235" s="955"/>
      <c r="AA235" s="955"/>
      <c r="AB235" s="955"/>
      <c r="AC235" s="955"/>
      <c r="AD235" s="955"/>
      <c r="AE235" s="955"/>
      <c r="AF235" s="955"/>
      <c r="AG235" s="955"/>
      <c r="AH235" s="955"/>
      <c r="AI235" s="955"/>
      <c r="AJ235" s="955"/>
      <c r="AK235" s="955"/>
      <c r="AL235" s="955"/>
      <c r="AM235" s="955"/>
      <c r="AN235" s="955"/>
      <c r="AO235" s="955"/>
      <c r="AP235" s="955"/>
      <c r="AQ235" s="955"/>
      <c r="AR235" s="955"/>
      <c r="AS235" s="955"/>
    </row>
    <row r="236" spans="2:45" s="1514" customFormat="1" x14ac:dyDescent="0.2">
      <c r="B236" s="1640"/>
      <c r="C236" s="1517"/>
      <c r="D236" s="1516"/>
      <c r="E236" s="1518"/>
      <c r="F236" s="1510"/>
      <c r="G236" s="1510"/>
      <c r="H236" s="1510"/>
      <c r="I236" s="1512"/>
      <c r="J236" s="1512"/>
      <c r="K236" s="1635" t="str">
        <f t="shared" si="18"/>
        <v/>
      </c>
      <c r="L236" s="1633"/>
      <c r="M236" s="1512"/>
      <c r="N236" s="1513" t="str">
        <f t="shared" si="19"/>
        <v/>
      </c>
      <c r="O236" s="1682" t="str">
        <f t="shared" si="20"/>
        <v/>
      </c>
      <c r="P236" s="1512"/>
      <c r="Q236" s="1513" t="str">
        <f t="shared" si="21"/>
        <v/>
      </c>
      <c r="R236" s="1683" t="str">
        <f t="shared" si="22"/>
        <v/>
      </c>
      <c r="S236" s="1512"/>
      <c r="T236" s="1513" t="str">
        <f t="shared" si="23"/>
        <v/>
      </c>
      <c r="U236" s="1512"/>
      <c r="V236" s="1512"/>
      <c r="W236" s="1638"/>
      <c r="X236" s="955"/>
      <c r="Y236" s="955"/>
      <c r="Z236" s="955"/>
      <c r="AA236" s="955"/>
      <c r="AB236" s="955"/>
      <c r="AC236" s="955"/>
      <c r="AD236" s="955"/>
      <c r="AE236" s="955"/>
      <c r="AF236" s="955"/>
      <c r="AG236" s="955"/>
      <c r="AH236" s="955"/>
      <c r="AI236" s="955"/>
      <c r="AJ236" s="955"/>
      <c r="AK236" s="955"/>
      <c r="AL236" s="955"/>
      <c r="AM236" s="955"/>
      <c r="AN236" s="955"/>
      <c r="AO236" s="955"/>
      <c r="AP236" s="955"/>
      <c r="AQ236" s="955"/>
      <c r="AR236" s="955"/>
      <c r="AS236" s="955"/>
    </row>
    <row r="237" spans="2:45" s="1514" customFormat="1" x14ac:dyDescent="0.2">
      <c r="B237" s="1640"/>
      <c r="C237" s="1517"/>
      <c r="D237" s="1516"/>
      <c r="E237" s="1518"/>
      <c r="F237" s="1510"/>
      <c r="G237" s="1510"/>
      <c r="H237" s="1510"/>
      <c r="I237" s="1512"/>
      <c r="J237" s="1512"/>
      <c r="K237" s="1635" t="str">
        <f t="shared" si="18"/>
        <v/>
      </c>
      <c r="L237" s="1633"/>
      <c r="M237" s="1512"/>
      <c r="N237" s="1513" t="str">
        <f t="shared" si="19"/>
        <v/>
      </c>
      <c r="O237" s="1682" t="str">
        <f t="shared" si="20"/>
        <v/>
      </c>
      <c r="P237" s="1512"/>
      <c r="Q237" s="1513" t="str">
        <f t="shared" si="21"/>
        <v/>
      </c>
      <c r="R237" s="1683" t="str">
        <f t="shared" si="22"/>
        <v/>
      </c>
      <c r="S237" s="1512"/>
      <c r="T237" s="1513" t="str">
        <f t="shared" si="23"/>
        <v/>
      </c>
      <c r="U237" s="1512"/>
      <c r="V237" s="1512"/>
      <c r="W237" s="1638"/>
      <c r="X237" s="955"/>
      <c r="Y237" s="955"/>
      <c r="Z237" s="955"/>
      <c r="AA237" s="955"/>
      <c r="AB237" s="955"/>
      <c r="AC237" s="955"/>
      <c r="AD237" s="955"/>
      <c r="AE237" s="955"/>
      <c r="AF237" s="955"/>
      <c r="AG237" s="955"/>
      <c r="AH237" s="955"/>
      <c r="AI237" s="955"/>
      <c r="AJ237" s="955"/>
      <c r="AK237" s="955"/>
      <c r="AL237" s="955"/>
      <c r="AM237" s="955"/>
      <c r="AN237" s="955"/>
      <c r="AO237" s="955"/>
      <c r="AP237" s="955"/>
      <c r="AQ237" s="955"/>
      <c r="AR237" s="955"/>
      <c r="AS237" s="955"/>
    </row>
    <row r="238" spans="2:45" s="1514" customFormat="1" x14ac:dyDescent="0.2">
      <c r="B238" s="1640"/>
      <c r="C238" s="1517"/>
      <c r="D238" s="1516"/>
      <c r="E238" s="1518"/>
      <c r="F238" s="1510"/>
      <c r="G238" s="1510"/>
      <c r="H238" s="1510"/>
      <c r="I238" s="1512"/>
      <c r="J238" s="1512"/>
      <c r="K238" s="1635" t="str">
        <f t="shared" si="18"/>
        <v/>
      </c>
      <c r="L238" s="1633"/>
      <c r="M238" s="1512"/>
      <c r="N238" s="1513" t="str">
        <f t="shared" si="19"/>
        <v/>
      </c>
      <c r="O238" s="1682" t="str">
        <f t="shared" si="20"/>
        <v/>
      </c>
      <c r="P238" s="1512"/>
      <c r="Q238" s="1513" t="str">
        <f t="shared" si="21"/>
        <v/>
      </c>
      <c r="R238" s="1683" t="str">
        <f t="shared" si="22"/>
        <v/>
      </c>
      <c r="S238" s="1512"/>
      <c r="T238" s="1513" t="str">
        <f t="shared" si="23"/>
        <v/>
      </c>
      <c r="U238" s="1512"/>
      <c r="V238" s="1512"/>
      <c r="W238" s="1638"/>
      <c r="X238" s="955"/>
      <c r="Y238" s="955"/>
      <c r="Z238" s="955"/>
      <c r="AA238" s="955"/>
      <c r="AB238" s="955"/>
      <c r="AC238" s="955"/>
      <c r="AD238" s="955"/>
      <c r="AE238" s="955"/>
      <c r="AF238" s="955"/>
      <c r="AG238" s="955"/>
      <c r="AH238" s="955"/>
      <c r="AI238" s="955"/>
      <c r="AJ238" s="955"/>
      <c r="AK238" s="955"/>
      <c r="AL238" s="955"/>
      <c r="AM238" s="955"/>
      <c r="AN238" s="955"/>
      <c r="AO238" s="955"/>
      <c r="AP238" s="955"/>
      <c r="AQ238" s="955"/>
      <c r="AR238" s="955"/>
      <c r="AS238" s="955"/>
    </row>
    <row r="239" spans="2:45" s="1514" customFormat="1" x14ac:dyDescent="0.2">
      <c r="B239" s="1640"/>
      <c r="C239" s="1517"/>
      <c r="D239" s="1516"/>
      <c r="E239" s="1518"/>
      <c r="F239" s="1510"/>
      <c r="G239" s="1510"/>
      <c r="H239" s="1510"/>
      <c r="I239" s="1512"/>
      <c r="J239" s="1512"/>
      <c r="K239" s="1635" t="str">
        <f t="shared" si="18"/>
        <v/>
      </c>
      <c r="L239" s="1633"/>
      <c r="M239" s="1512"/>
      <c r="N239" s="1513" t="str">
        <f t="shared" si="19"/>
        <v/>
      </c>
      <c r="O239" s="1682" t="str">
        <f t="shared" si="20"/>
        <v/>
      </c>
      <c r="P239" s="1512"/>
      <c r="Q239" s="1513" t="str">
        <f t="shared" si="21"/>
        <v/>
      </c>
      <c r="R239" s="1683" t="str">
        <f t="shared" si="22"/>
        <v/>
      </c>
      <c r="S239" s="1512"/>
      <c r="T239" s="1513" t="str">
        <f t="shared" si="23"/>
        <v/>
      </c>
      <c r="U239" s="1512"/>
      <c r="V239" s="1512"/>
      <c r="W239" s="1638"/>
      <c r="X239" s="955"/>
      <c r="Y239" s="955"/>
      <c r="Z239" s="955"/>
      <c r="AA239" s="955"/>
      <c r="AB239" s="955"/>
      <c r="AC239" s="955"/>
      <c r="AD239" s="955"/>
      <c r="AE239" s="955"/>
      <c r="AF239" s="955"/>
      <c r="AG239" s="955"/>
      <c r="AH239" s="955"/>
      <c r="AI239" s="955"/>
      <c r="AJ239" s="955"/>
      <c r="AK239" s="955"/>
      <c r="AL239" s="955"/>
      <c r="AM239" s="955"/>
      <c r="AN239" s="955"/>
      <c r="AO239" s="955"/>
      <c r="AP239" s="955"/>
      <c r="AQ239" s="955"/>
      <c r="AR239" s="955"/>
      <c r="AS239" s="955"/>
    </row>
    <row r="240" spans="2:45" s="1514" customFormat="1" x14ac:dyDescent="0.2">
      <c r="B240" s="1640"/>
      <c r="C240" s="1517"/>
      <c r="D240" s="1516"/>
      <c r="E240" s="1518"/>
      <c r="F240" s="1510"/>
      <c r="G240" s="1510"/>
      <c r="H240" s="1510"/>
      <c r="I240" s="1512"/>
      <c r="J240" s="1512"/>
      <c r="K240" s="1635" t="str">
        <f t="shared" si="18"/>
        <v/>
      </c>
      <c r="L240" s="1633"/>
      <c r="M240" s="1512"/>
      <c r="N240" s="1513" t="str">
        <f t="shared" si="19"/>
        <v/>
      </c>
      <c r="O240" s="1682" t="str">
        <f t="shared" si="20"/>
        <v/>
      </c>
      <c r="P240" s="1512"/>
      <c r="Q240" s="1513" t="str">
        <f t="shared" si="21"/>
        <v/>
      </c>
      <c r="R240" s="1683" t="str">
        <f t="shared" si="22"/>
        <v/>
      </c>
      <c r="S240" s="1512"/>
      <c r="T240" s="1513" t="str">
        <f t="shared" si="23"/>
        <v/>
      </c>
      <c r="U240" s="1512"/>
      <c r="V240" s="1512"/>
      <c r="W240" s="1638"/>
      <c r="X240" s="955"/>
      <c r="Y240" s="955"/>
      <c r="Z240" s="955"/>
      <c r="AA240" s="955"/>
      <c r="AB240" s="955"/>
      <c r="AC240" s="955"/>
      <c r="AD240" s="955"/>
      <c r="AE240" s="955"/>
      <c r="AF240" s="955"/>
      <c r="AG240" s="955"/>
      <c r="AH240" s="955"/>
      <c r="AI240" s="955"/>
      <c r="AJ240" s="955"/>
      <c r="AK240" s="955"/>
      <c r="AL240" s="955"/>
      <c r="AM240" s="955"/>
      <c r="AN240" s="955"/>
      <c r="AO240" s="955"/>
      <c r="AP240" s="955"/>
      <c r="AQ240" s="955"/>
      <c r="AR240" s="955"/>
      <c r="AS240" s="955"/>
    </row>
    <row r="241" spans="2:45" s="1514" customFormat="1" x14ac:dyDescent="0.2">
      <c r="B241" s="1640"/>
      <c r="C241" s="1517"/>
      <c r="D241" s="1516"/>
      <c r="E241" s="1518"/>
      <c r="F241" s="1510"/>
      <c r="G241" s="1510"/>
      <c r="H241" s="1510"/>
      <c r="I241" s="1512"/>
      <c r="J241" s="1512"/>
      <c r="K241" s="1635" t="str">
        <f t="shared" si="18"/>
        <v/>
      </c>
      <c r="L241" s="1633"/>
      <c r="M241" s="1512"/>
      <c r="N241" s="1513" t="str">
        <f t="shared" si="19"/>
        <v/>
      </c>
      <c r="O241" s="1682" t="str">
        <f t="shared" si="20"/>
        <v/>
      </c>
      <c r="P241" s="1512"/>
      <c r="Q241" s="1513" t="str">
        <f t="shared" si="21"/>
        <v/>
      </c>
      <c r="R241" s="1683" t="str">
        <f t="shared" si="22"/>
        <v/>
      </c>
      <c r="S241" s="1512"/>
      <c r="T241" s="1513" t="str">
        <f t="shared" si="23"/>
        <v/>
      </c>
      <c r="U241" s="1512"/>
      <c r="V241" s="1512"/>
      <c r="W241" s="1638"/>
      <c r="X241" s="955"/>
      <c r="Y241" s="955"/>
      <c r="Z241" s="955"/>
      <c r="AA241" s="955"/>
      <c r="AB241" s="955"/>
      <c r="AC241" s="955"/>
      <c r="AD241" s="955"/>
      <c r="AE241" s="955"/>
      <c r="AF241" s="955"/>
      <c r="AG241" s="955"/>
      <c r="AH241" s="955"/>
      <c r="AI241" s="955"/>
      <c r="AJ241" s="955"/>
      <c r="AK241" s="955"/>
      <c r="AL241" s="955"/>
      <c r="AM241" s="955"/>
      <c r="AN241" s="955"/>
      <c r="AO241" s="955"/>
      <c r="AP241" s="955"/>
      <c r="AQ241" s="955"/>
      <c r="AR241" s="955"/>
      <c r="AS241" s="955"/>
    </row>
    <row r="242" spans="2:45" s="1514" customFormat="1" x14ac:dyDescent="0.2">
      <c r="B242" s="1640"/>
      <c r="C242" s="1517"/>
      <c r="D242" s="1516"/>
      <c r="E242" s="1518"/>
      <c r="F242" s="1510"/>
      <c r="G242" s="1510"/>
      <c r="H242" s="1510"/>
      <c r="I242" s="1512"/>
      <c r="J242" s="1512"/>
      <c r="K242" s="1635" t="str">
        <f t="shared" si="18"/>
        <v/>
      </c>
      <c r="L242" s="1633"/>
      <c r="M242" s="1512"/>
      <c r="N242" s="1513" t="str">
        <f t="shared" si="19"/>
        <v/>
      </c>
      <c r="O242" s="1682" t="str">
        <f t="shared" si="20"/>
        <v/>
      </c>
      <c r="P242" s="1512"/>
      <c r="Q242" s="1513" t="str">
        <f t="shared" si="21"/>
        <v/>
      </c>
      <c r="R242" s="1683" t="str">
        <f t="shared" si="22"/>
        <v/>
      </c>
      <c r="S242" s="1512"/>
      <c r="T242" s="1513" t="str">
        <f t="shared" si="23"/>
        <v/>
      </c>
      <c r="U242" s="1512"/>
      <c r="V242" s="1512"/>
      <c r="W242" s="1638"/>
      <c r="X242" s="955"/>
      <c r="Y242" s="955"/>
      <c r="Z242" s="955"/>
      <c r="AA242" s="955"/>
      <c r="AB242" s="955"/>
      <c r="AC242" s="955"/>
      <c r="AD242" s="955"/>
      <c r="AE242" s="955"/>
      <c r="AF242" s="955"/>
      <c r="AG242" s="955"/>
      <c r="AH242" s="955"/>
      <c r="AI242" s="955"/>
      <c r="AJ242" s="955"/>
      <c r="AK242" s="955"/>
      <c r="AL242" s="955"/>
      <c r="AM242" s="955"/>
      <c r="AN242" s="955"/>
      <c r="AO242" s="955"/>
      <c r="AP242" s="955"/>
      <c r="AQ242" s="955"/>
      <c r="AR242" s="955"/>
      <c r="AS242" s="955"/>
    </row>
    <row r="243" spans="2:45" s="1514" customFormat="1" x14ac:dyDescent="0.2">
      <c r="B243" s="1640"/>
      <c r="C243" s="1517"/>
      <c r="D243" s="1516"/>
      <c r="E243" s="1518"/>
      <c r="F243" s="1510"/>
      <c r="G243" s="1510"/>
      <c r="H243" s="1510"/>
      <c r="I243" s="1512"/>
      <c r="J243" s="1512"/>
      <c r="K243" s="1635" t="str">
        <f t="shared" si="18"/>
        <v/>
      </c>
      <c r="L243" s="1633"/>
      <c r="M243" s="1512"/>
      <c r="N243" s="1513" t="str">
        <f t="shared" si="19"/>
        <v/>
      </c>
      <c r="O243" s="1682" t="str">
        <f t="shared" si="20"/>
        <v/>
      </c>
      <c r="P243" s="1512"/>
      <c r="Q243" s="1513" t="str">
        <f t="shared" si="21"/>
        <v/>
      </c>
      <c r="R243" s="1683" t="str">
        <f t="shared" si="22"/>
        <v/>
      </c>
      <c r="S243" s="1512"/>
      <c r="T243" s="1513" t="str">
        <f t="shared" si="23"/>
        <v/>
      </c>
      <c r="U243" s="1512"/>
      <c r="V243" s="1512"/>
      <c r="W243" s="1638"/>
      <c r="X243" s="955"/>
      <c r="Y243" s="955"/>
      <c r="Z243" s="955"/>
      <c r="AA243" s="955"/>
      <c r="AB243" s="955"/>
      <c r="AC243" s="955"/>
      <c r="AD243" s="955"/>
      <c r="AE243" s="955"/>
      <c r="AF243" s="955"/>
      <c r="AG243" s="955"/>
      <c r="AH243" s="955"/>
      <c r="AI243" s="955"/>
      <c r="AJ243" s="955"/>
      <c r="AK243" s="955"/>
      <c r="AL243" s="955"/>
      <c r="AM243" s="955"/>
      <c r="AN243" s="955"/>
      <c r="AO243" s="955"/>
      <c r="AP243" s="955"/>
      <c r="AQ243" s="955"/>
      <c r="AR243" s="955"/>
      <c r="AS243" s="955"/>
    </row>
    <row r="244" spans="2:45" s="1514" customFormat="1" x14ac:dyDescent="0.2">
      <c r="B244" s="1640"/>
      <c r="C244" s="1517"/>
      <c r="D244" s="1516"/>
      <c r="E244" s="1518"/>
      <c r="F244" s="1510"/>
      <c r="G244" s="1510"/>
      <c r="H244" s="1510"/>
      <c r="I244" s="1512"/>
      <c r="J244" s="1512"/>
      <c r="K244" s="1635" t="str">
        <f t="shared" si="18"/>
        <v/>
      </c>
      <c r="L244" s="1633"/>
      <c r="M244" s="1512"/>
      <c r="N244" s="1513" t="str">
        <f t="shared" si="19"/>
        <v/>
      </c>
      <c r="O244" s="1682" t="str">
        <f t="shared" si="20"/>
        <v/>
      </c>
      <c r="P244" s="1512"/>
      <c r="Q244" s="1513" t="str">
        <f t="shared" si="21"/>
        <v/>
      </c>
      <c r="R244" s="1683" t="str">
        <f t="shared" si="22"/>
        <v/>
      </c>
      <c r="S244" s="1512"/>
      <c r="T244" s="1513" t="str">
        <f t="shared" si="23"/>
        <v/>
      </c>
      <c r="U244" s="1512"/>
      <c r="V244" s="1512"/>
      <c r="W244" s="1638"/>
      <c r="X244" s="955"/>
      <c r="Y244" s="955"/>
      <c r="Z244" s="955"/>
      <c r="AA244" s="955"/>
      <c r="AB244" s="955"/>
      <c r="AC244" s="955"/>
      <c r="AD244" s="955"/>
      <c r="AE244" s="955"/>
      <c r="AF244" s="955"/>
      <c r="AG244" s="955"/>
      <c r="AH244" s="955"/>
      <c r="AI244" s="955"/>
      <c r="AJ244" s="955"/>
      <c r="AK244" s="955"/>
      <c r="AL244" s="955"/>
      <c r="AM244" s="955"/>
      <c r="AN244" s="955"/>
      <c r="AO244" s="955"/>
      <c r="AP244" s="955"/>
      <c r="AQ244" s="955"/>
      <c r="AR244" s="955"/>
      <c r="AS244" s="955"/>
    </row>
    <row r="245" spans="2:45" s="1514" customFormat="1" x14ac:dyDescent="0.2">
      <c r="B245" s="1640"/>
      <c r="C245" s="1517"/>
      <c r="D245" s="1516"/>
      <c r="E245" s="1518"/>
      <c r="F245" s="1510"/>
      <c r="G245" s="1510"/>
      <c r="H245" s="1510"/>
      <c r="I245" s="1512"/>
      <c r="J245" s="1512"/>
      <c r="K245" s="1635" t="str">
        <f t="shared" si="18"/>
        <v/>
      </c>
      <c r="L245" s="1633"/>
      <c r="M245" s="1512"/>
      <c r="N245" s="1513" t="str">
        <f t="shared" si="19"/>
        <v/>
      </c>
      <c r="O245" s="1682" t="str">
        <f t="shared" si="20"/>
        <v/>
      </c>
      <c r="P245" s="1512"/>
      <c r="Q245" s="1513" t="str">
        <f t="shared" si="21"/>
        <v/>
      </c>
      <c r="R245" s="1683" t="str">
        <f t="shared" si="22"/>
        <v/>
      </c>
      <c r="S245" s="1512"/>
      <c r="T245" s="1513" t="str">
        <f t="shared" si="23"/>
        <v/>
      </c>
      <c r="U245" s="1512"/>
      <c r="V245" s="1512"/>
      <c r="W245" s="1638"/>
      <c r="X245" s="955"/>
      <c r="Y245" s="955"/>
      <c r="Z245" s="955"/>
      <c r="AA245" s="955"/>
      <c r="AB245" s="955"/>
      <c r="AC245" s="955"/>
      <c r="AD245" s="955"/>
      <c r="AE245" s="955"/>
      <c r="AF245" s="955"/>
      <c r="AG245" s="955"/>
      <c r="AH245" s="955"/>
      <c r="AI245" s="955"/>
      <c r="AJ245" s="955"/>
      <c r="AK245" s="955"/>
      <c r="AL245" s="955"/>
      <c r="AM245" s="955"/>
      <c r="AN245" s="955"/>
      <c r="AO245" s="955"/>
      <c r="AP245" s="955"/>
      <c r="AQ245" s="955"/>
      <c r="AR245" s="955"/>
      <c r="AS245" s="955"/>
    </row>
    <row r="246" spans="2:45" s="1514" customFormat="1" x14ac:dyDescent="0.2">
      <c r="B246" s="1640"/>
      <c r="C246" s="1517"/>
      <c r="D246" s="1516"/>
      <c r="E246" s="1518"/>
      <c r="F246" s="1510"/>
      <c r="G246" s="1510"/>
      <c r="H246" s="1510"/>
      <c r="I246" s="1512"/>
      <c r="J246" s="1512"/>
      <c r="K246" s="1635" t="str">
        <f t="shared" si="18"/>
        <v/>
      </c>
      <c r="L246" s="1633"/>
      <c r="M246" s="1512"/>
      <c r="N246" s="1513" t="str">
        <f t="shared" si="19"/>
        <v/>
      </c>
      <c r="O246" s="1682" t="str">
        <f t="shared" si="20"/>
        <v/>
      </c>
      <c r="P246" s="1512"/>
      <c r="Q246" s="1513" t="str">
        <f t="shared" si="21"/>
        <v/>
      </c>
      <c r="R246" s="1683" t="str">
        <f t="shared" si="22"/>
        <v/>
      </c>
      <c r="S246" s="1512"/>
      <c r="T246" s="1513" t="str">
        <f t="shared" si="23"/>
        <v/>
      </c>
      <c r="U246" s="1512"/>
      <c r="V246" s="1512"/>
      <c r="W246" s="1638"/>
      <c r="X246" s="955"/>
      <c r="Y246" s="955"/>
      <c r="Z246" s="955"/>
      <c r="AA246" s="955"/>
      <c r="AB246" s="955"/>
      <c r="AC246" s="955"/>
      <c r="AD246" s="955"/>
      <c r="AE246" s="955"/>
      <c r="AF246" s="955"/>
      <c r="AG246" s="955"/>
      <c r="AH246" s="955"/>
      <c r="AI246" s="955"/>
      <c r="AJ246" s="955"/>
      <c r="AK246" s="955"/>
      <c r="AL246" s="955"/>
      <c r="AM246" s="955"/>
      <c r="AN246" s="955"/>
      <c r="AO246" s="955"/>
      <c r="AP246" s="955"/>
      <c r="AQ246" s="955"/>
      <c r="AR246" s="955"/>
      <c r="AS246" s="955"/>
    </row>
    <row r="247" spans="2:45" s="1514" customFormat="1" x14ac:dyDescent="0.2">
      <c r="B247" s="1640"/>
      <c r="C247" s="1517"/>
      <c r="D247" s="1516"/>
      <c r="E247" s="1518"/>
      <c r="F247" s="1510"/>
      <c r="G247" s="1510"/>
      <c r="H247" s="1510"/>
      <c r="I247" s="1512"/>
      <c r="J247" s="1512"/>
      <c r="K247" s="1635" t="str">
        <f t="shared" si="18"/>
        <v/>
      </c>
      <c r="L247" s="1633"/>
      <c r="M247" s="1512"/>
      <c r="N247" s="1513" t="str">
        <f t="shared" si="19"/>
        <v/>
      </c>
      <c r="O247" s="1682" t="str">
        <f t="shared" si="20"/>
        <v/>
      </c>
      <c r="P247" s="1512"/>
      <c r="Q247" s="1513" t="str">
        <f t="shared" si="21"/>
        <v/>
      </c>
      <c r="R247" s="1683" t="str">
        <f t="shared" si="22"/>
        <v/>
      </c>
      <c r="S247" s="1512"/>
      <c r="T247" s="1513" t="str">
        <f t="shared" si="23"/>
        <v/>
      </c>
      <c r="U247" s="1512"/>
      <c r="V247" s="1512"/>
      <c r="W247" s="1638"/>
      <c r="X247" s="955"/>
      <c r="Y247" s="955"/>
      <c r="Z247" s="955"/>
      <c r="AA247" s="955"/>
      <c r="AB247" s="955"/>
      <c r="AC247" s="955"/>
      <c r="AD247" s="955"/>
      <c r="AE247" s="955"/>
      <c r="AF247" s="955"/>
      <c r="AG247" s="955"/>
      <c r="AH247" s="955"/>
      <c r="AI247" s="955"/>
      <c r="AJ247" s="955"/>
      <c r="AK247" s="955"/>
      <c r="AL247" s="955"/>
      <c r="AM247" s="955"/>
      <c r="AN247" s="955"/>
      <c r="AO247" s="955"/>
      <c r="AP247" s="955"/>
      <c r="AQ247" s="955"/>
      <c r="AR247" s="955"/>
      <c r="AS247" s="955"/>
    </row>
    <row r="248" spans="2:45" s="1514" customFormat="1" x14ac:dyDescent="0.2">
      <c r="B248" s="1640"/>
      <c r="C248" s="1517"/>
      <c r="D248" s="1516"/>
      <c r="E248" s="1518"/>
      <c r="F248" s="1510"/>
      <c r="G248" s="1510"/>
      <c r="H248" s="1510"/>
      <c r="I248" s="1512"/>
      <c r="J248" s="1512"/>
      <c r="K248" s="1635" t="str">
        <f t="shared" si="18"/>
        <v/>
      </c>
      <c r="L248" s="1633"/>
      <c r="M248" s="1512"/>
      <c r="N248" s="1513" t="str">
        <f t="shared" si="19"/>
        <v/>
      </c>
      <c r="O248" s="1682" t="str">
        <f t="shared" si="20"/>
        <v/>
      </c>
      <c r="P248" s="1512"/>
      <c r="Q248" s="1513" t="str">
        <f t="shared" si="21"/>
        <v/>
      </c>
      <c r="R248" s="1683" t="str">
        <f t="shared" si="22"/>
        <v/>
      </c>
      <c r="S248" s="1512"/>
      <c r="T248" s="1513" t="str">
        <f t="shared" si="23"/>
        <v/>
      </c>
      <c r="U248" s="1512"/>
      <c r="V248" s="1512"/>
      <c r="W248" s="1638"/>
      <c r="X248" s="955"/>
      <c r="Y248" s="955"/>
      <c r="Z248" s="955"/>
      <c r="AA248" s="955"/>
      <c r="AB248" s="955"/>
      <c r="AC248" s="955"/>
      <c r="AD248" s="955"/>
      <c r="AE248" s="955"/>
      <c r="AF248" s="955"/>
      <c r="AG248" s="955"/>
      <c r="AH248" s="955"/>
      <c r="AI248" s="955"/>
      <c r="AJ248" s="955"/>
      <c r="AK248" s="955"/>
      <c r="AL248" s="955"/>
      <c r="AM248" s="955"/>
      <c r="AN248" s="955"/>
      <c r="AO248" s="955"/>
      <c r="AP248" s="955"/>
      <c r="AQ248" s="955"/>
      <c r="AR248" s="955"/>
      <c r="AS248" s="955"/>
    </row>
    <row r="249" spans="2:45" s="1514" customFormat="1" x14ac:dyDescent="0.2">
      <c r="B249" s="1640"/>
      <c r="C249" s="1517"/>
      <c r="D249" s="1516"/>
      <c r="E249" s="1518"/>
      <c r="F249" s="1510"/>
      <c r="G249" s="1510"/>
      <c r="H249" s="1510"/>
      <c r="I249" s="1512"/>
      <c r="J249" s="1512"/>
      <c r="K249" s="1635" t="str">
        <f t="shared" si="18"/>
        <v/>
      </c>
      <c r="L249" s="1633"/>
      <c r="M249" s="1512"/>
      <c r="N249" s="1513" t="str">
        <f t="shared" si="19"/>
        <v/>
      </c>
      <c r="O249" s="1682" t="str">
        <f t="shared" si="20"/>
        <v/>
      </c>
      <c r="P249" s="1512"/>
      <c r="Q249" s="1513" t="str">
        <f t="shared" si="21"/>
        <v/>
      </c>
      <c r="R249" s="1683" t="str">
        <f t="shared" si="22"/>
        <v/>
      </c>
      <c r="S249" s="1512"/>
      <c r="T249" s="1513" t="str">
        <f t="shared" si="23"/>
        <v/>
      </c>
      <c r="U249" s="1512"/>
      <c r="V249" s="1512"/>
      <c r="W249" s="1638"/>
      <c r="X249" s="955"/>
      <c r="Y249" s="955"/>
      <c r="Z249" s="955"/>
      <c r="AA249" s="955"/>
      <c r="AB249" s="955"/>
      <c r="AC249" s="955"/>
      <c r="AD249" s="955"/>
      <c r="AE249" s="955"/>
      <c r="AF249" s="955"/>
      <c r="AG249" s="955"/>
      <c r="AH249" s="955"/>
      <c r="AI249" s="955"/>
      <c r="AJ249" s="955"/>
      <c r="AK249" s="955"/>
      <c r="AL249" s="955"/>
      <c r="AM249" s="955"/>
      <c r="AN249" s="955"/>
      <c r="AO249" s="955"/>
      <c r="AP249" s="955"/>
      <c r="AQ249" s="955"/>
      <c r="AR249" s="955"/>
      <c r="AS249" s="955"/>
    </row>
    <row r="250" spans="2:45" s="1514" customFormat="1" x14ac:dyDescent="0.2">
      <c r="B250" s="1640"/>
      <c r="C250" s="1517"/>
      <c r="D250" s="1516"/>
      <c r="E250" s="1518"/>
      <c r="F250" s="1510"/>
      <c r="G250" s="1510"/>
      <c r="H250" s="1510"/>
      <c r="I250" s="1512"/>
      <c r="J250" s="1512"/>
      <c r="K250" s="1635" t="str">
        <f t="shared" si="18"/>
        <v/>
      </c>
      <c r="L250" s="1633"/>
      <c r="M250" s="1512"/>
      <c r="N250" s="1513" t="str">
        <f t="shared" si="19"/>
        <v/>
      </c>
      <c r="O250" s="1682" t="str">
        <f t="shared" si="20"/>
        <v/>
      </c>
      <c r="P250" s="1512"/>
      <c r="Q250" s="1513" t="str">
        <f t="shared" si="21"/>
        <v/>
      </c>
      <c r="R250" s="1683" t="str">
        <f t="shared" si="22"/>
        <v/>
      </c>
      <c r="S250" s="1512"/>
      <c r="T250" s="1513" t="str">
        <f t="shared" si="23"/>
        <v/>
      </c>
      <c r="U250" s="1512"/>
      <c r="V250" s="1512"/>
      <c r="W250" s="1638"/>
      <c r="X250" s="955"/>
      <c r="Y250" s="955"/>
      <c r="Z250" s="955"/>
      <c r="AA250" s="955"/>
      <c r="AB250" s="955"/>
      <c r="AC250" s="955"/>
      <c r="AD250" s="955"/>
      <c r="AE250" s="955"/>
      <c r="AF250" s="955"/>
      <c r="AG250" s="955"/>
      <c r="AH250" s="955"/>
      <c r="AI250" s="955"/>
      <c r="AJ250" s="955"/>
      <c r="AK250" s="955"/>
      <c r="AL250" s="955"/>
      <c r="AM250" s="955"/>
      <c r="AN250" s="955"/>
      <c r="AO250" s="955"/>
      <c r="AP250" s="955"/>
      <c r="AQ250" s="955"/>
      <c r="AR250" s="955"/>
      <c r="AS250" s="955"/>
    </row>
    <row r="251" spans="2:45" s="1514" customFormat="1" x14ac:dyDescent="0.2">
      <c r="B251" s="1640"/>
      <c r="C251" s="1517"/>
      <c r="D251" s="1516"/>
      <c r="E251" s="1518"/>
      <c r="F251" s="1510"/>
      <c r="G251" s="1510"/>
      <c r="H251" s="1510"/>
      <c r="I251" s="1512"/>
      <c r="J251" s="1512"/>
      <c r="K251" s="1635" t="str">
        <f t="shared" si="18"/>
        <v/>
      </c>
      <c r="L251" s="1633"/>
      <c r="M251" s="1512"/>
      <c r="N251" s="1513" t="str">
        <f t="shared" si="19"/>
        <v/>
      </c>
      <c r="O251" s="1682" t="str">
        <f t="shared" si="20"/>
        <v/>
      </c>
      <c r="P251" s="1512"/>
      <c r="Q251" s="1513" t="str">
        <f t="shared" si="21"/>
        <v/>
      </c>
      <c r="R251" s="1683" t="str">
        <f t="shared" si="22"/>
        <v/>
      </c>
      <c r="S251" s="1512"/>
      <c r="T251" s="1513" t="str">
        <f t="shared" si="23"/>
        <v/>
      </c>
      <c r="U251" s="1512"/>
      <c r="V251" s="1512"/>
      <c r="W251" s="1638"/>
      <c r="X251" s="955"/>
      <c r="Y251" s="955"/>
      <c r="Z251" s="955"/>
      <c r="AA251" s="955"/>
      <c r="AB251" s="955"/>
      <c r="AC251" s="955"/>
      <c r="AD251" s="955"/>
      <c r="AE251" s="955"/>
      <c r="AF251" s="955"/>
      <c r="AG251" s="955"/>
      <c r="AH251" s="955"/>
      <c r="AI251" s="955"/>
      <c r="AJ251" s="955"/>
      <c r="AK251" s="955"/>
      <c r="AL251" s="955"/>
      <c r="AM251" s="955"/>
      <c r="AN251" s="955"/>
      <c r="AO251" s="955"/>
      <c r="AP251" s="955"/>
      <c r="AQ251" s="955"/>
      <c r="AR251" s="955"/>
      <c r="AS251" s="955"/>
    </row>
    <row r="252" spans="2:45" s="1514" customFormat="1" x14ac:dyDescent="0.2">
      <c r="B252" s="1640"/>
      <c r="C252" s="1517"/>
      <c r="D252" s="1516"/>
      <c r="E252" s="1518"/>
      <c r="F252" s="1510"/>
      <c r="G252" s="1510"/>
      <c r="H252" s="1510"/>
      <c r="I252" s="1512"/>
      <c r="J252" s="1512"/>
      <c r="K252" s="1635" t="str">
        <f t="shared" si="18"/>
        <v/>
      </c>
      <c r="L252" s="1633"/>
      <c r="M252" s="1512"/>
      <c r="N252" s="1513" t="str">
        <f t="shared" si="19"/>
        <v/>
      </c>
      <c r="O252" s="1682" t="str">
        <f t="shared" si="20"/>
        <v/>
      </c>
      <c r="P252" s="1512"/>
      <c r="Q252" s="1513" t="str">
        <f t="shared" si="21"/>
        <v/>
      </c>
      <c r="R252" s="1683" t="str">
        <f t="shared" si="22"/>
        <v/>
      </c>
      <c r="S252" s="1512"/>
      <c r="T252" s="1513" t="str">
        <f t="shared" si="23"/>
        <v/>
      </c>
      <c r="U252" s="1512"/>
      <c r="V252" s="1512"/>
      <c r="W252" s="1638"/>
      <c r="X252" s="955"/>
      <c r="Y252" s="955"/>
      <c r="Z252" s="955"/>
      <c r="AA252" s="955"/>
      <c r="AB252" s="955"/>
      <c r="AC252" s="955"/>
      <c r="AD252" s="955"/>
      <c r="AE252" s="955"/>
      <c r="AF252" s="955"/>
      <c r="AG252" s="955"/>
      <c r="AH252" s="955"/>
      <c r="AI252" s="955"/>
      <c r="AJ252" s="955"/>
      <c r="AK252" s="955"/>
      <c r="AL252" s="955"/>
      <c r="AM252" s="955"/>
      <c r="AN252" s="955"/>
      <c r="AO252" s="955"/>
      <c r="AP252" s="955"/>
      <c r="AQ252" s="955"/>
      <c r="AR252" s="955"/>
      <c r="AS252" s="955"/>
    </row>
    <row r="253" spans="2:45" s="1514" customFormat="1" x14ac:dyDescent="0.2">
      <c r="B253" s="1640"/>
      <c r="C253" s="1517"/>
      <c r="D253" s="1516"/>
      <c r="E253" s="1518"/>
      <c r="F253" s="1510"/>
      <c r="G253" s="1510"/>
      <c r="H253" s="1510"/>
      <c r="I253" s="1512"/>
      <c r="J253" s="1512"/>
      <c r="K253" s="1635" t="str">
        <f t="shared" si="18"/>
        <v/>
      </c>
      <c r="L253" s="1633"/>
      <c r="M253" s="1512"/>
      <c r="N253" s="1513" t="str">
        <f t="shared" si="19"/>
        <v/>
      </c>
      <c r="O253" s="1682" t="str">
        <f t="shared" si="20"/>
        <v/>
      </c>
      <c r="P253" s="1512"/>
      <c r="Q253" s="1513" t="str">
        <f t="shared" si="21"/>
        <v/>
      </c>
      <c r="R253" s="1683" t="str">
        <f t="shared" si="22"/>
        <v/>
      </c>
      <c r="S253" s="1512"/>
      <c r="T253" s="1513" t="str">
        <f t="shared" si="23"/>
        <v/>
      </c>
      <c r="U253" s="1512"/>
      <c r="V253" s="1512"/>
      <c r="W253" s="1638"/>
      <c r="X253" s="955"/>
      <c r="Y253" s="955"/>
      <c r="Z253" s="955"/>
      <c r="AA253" s="955"/>
      <c r="AB253" s="955"/>
      <c r="AC253" s="955"/>
      <c r="AD253" s="955"/>
      <c r="AE253" s="955"/>
      <c r="AF253" s="955"/>
      <c r="AG253" s="955"/>
      <c r="AH253" s="955"/>
      <c r="AI253" s="955"/>
      <c r="AJ253" s="955"/>
      <c r="AK253" s="955"/>
      <c r="AL253" s="955"/>
      <c r="AM253" s="955"/>
      <c r="AN253" s="955"/>
      <c r="AO253" s="955"/>
      <c r="AP253" s="955"/>
      <c r="AQ253" s="955"/>
      <c r="AR253" s="955"/>
      <c r="AS253" s="955"/>
    </row>
    <row r="254" spans="2:45" s="1514" customFormat="1" x14ac:dyDescent="0.2">
      <c r="B254" s="1640"/>
      <c r="C254" s="1517"/>
      <c r="D254" s="1516"/>
      <c r="E254" s="1518"/>
      <c r="F254" s="1510"/>
      <c r="G254" s="1510"/>
      <c r="H254" s="1510"/>
      <c r="I254" s="1512"/>
      <c r="J254" s="1512"/>
      <c r="K254" s="1635" t="str">
        <f t="shared" si="18"/>
        <v/>
      </c>
      <c r="L254" s="1633"/>
      <c r="M254" s="1512"/>
      <c r="N254" s="1513" t="str">
        <f t="shared" si="19"/>
        <v/>
      </c>
      <c r="O254" s="1682" t="str">
        <f t="shared" si="20"/>
        <v/>
      </c>
      <c r="P254" s="1512"/>
      <c r="Q254" s="1513" t="str">
        <f t="shared" si="21"/>
        <v/>
      </c>
      <c r="R254" s="1683" t="str">
        <f t="shared" si="22"/>
        <v/>
      </c>
      <c r="S254" s="1512"/>
      <c r="T254" s="1513" t="str">
        <f t="shared" si="23"/>
        <v/>
      </c>
      <c r="U254" s="1512"/>
      <c r="V254" s="1512"/>
      <c r="W254" s="1638"/>
      <c r="X254" s="955"/>
      <c r="Y254" s="955"/>
      <c r="Z254" s="955"/>
      <c r="AA254" s="955"/>
      <c r="AB254" s="955"/>
      <c r="AC254" s="955"/>
      <c r="AD254" s="955"/>
      <c r="AE254" s="955"/>
      <c r="AF254" s="955"/>
      <c r="AG254" s="955"/>
      <c r="AH254" s="955"/>
      <c r="AI254" s="955"/>
      <c r="AJ254" s="955"/>
      <c r="AK254" s="955"/>
      <c r="AL254" s="955"/>
      <c r="AM254" s="955"/>
      <c r="AN254" s="955"/>
      <c r="AO254" s="955"/>
      <c r="AP254" s="955"/>
      <c r="AQ254" s="955"/>
      <c r="AR254" s="955"/>
      <c r="AS254" s="955"/>
    </row>
    <row r="255" spans="2:45" s="1514" customFormat="1" x14ac:dyDescent="0.2">
      <c r="B255" s="1640"/>
      <c r="C255" s="1517"/>
      <c r="D255" s="1516"/>
      <c r="E255" s="1518"/>
      <c r="F255" s="1510"/>
      <c r="G255" s="1510"/>
      <c r="H255" s="1510"/>
      <c r="I255" s="1512"/>
      <c r="J255" s="1512"/>
      <c r="K255" s="1635" t="str">
        <f t="shared" si="18"/>
        <v/>
      </c>
      <c r="L255" s="1633"/>
      <c r="M255" s="1512"/>
      <c r="N255" s="1513" t="str">
        <f t="shared" si="19"/>
        <v/>
      </c>
      <c r="O255" s="1682" t="str">
        <f t="shared" si="20"/>
        <v/>
      </c>
      <c r="P255" s="1512"/>
      <c r="Q255" s="1513" t="str">
        <f t="shared" si="21"/>
        <v/>
      </c>
      <c r="R255" s="1683" t="str">
        <f t="shared" si="22"/>
        <v/>
      </c>
      <c r="S255" s="1512"/>
      <c r="T255" s="1513" t="str">
        <f t="shared" si="23"/>
        <v/>
      </c>
      <c r="U255" s="1512"/>
      <c r="V255" s="1512"/>
      <c r="W255" s="1638"/>
      <c r="X255" s="955"/>
      <c r="Y255" s="955"/>
      <c r="Z255" s="955"/>
      <c r="AA255" s="955"/>
      <c r="AB255" s="955"/>
      <c r="AC255" s="955"/>
      <c r="AD255" s="955"/>
      <c r="AE255" s="955"/>
      <c r="AF255" s="955"/>
      <c r="AG255" s="955"/>
      <c r="AH255" s="955"/>
      <c r="AI255" s="955"/>
      <c r="AJ255" s="955"/>
      <c r="AK255" s="955"/>
      <c r="AL255" s="955"/>
      <c r="AM255" s="955"/>
      <c r="AN255" s="955"/>
      <c r="AO255" s="955"/>
      <c r="AP255" s="955"/>
      <c r="AQ255" s="955"/>
      <c r="AR255" s="955"/>
      <c r="AS255" s="955"/>
    </row>
    <row r="256" spans="2:45" s="1514" customFormat="1" x14ac:dyDescent="0.2">
      <c r="B256" s="1640"/>
      <c r="C256" s="1517"/>
      <c r="D256" s="1516"/>
      <c r="E256" s="1518"/>
      <c r="F256" s="1510"/>
      <c r="G256" s="1510"/>
      <c r="H256" s="1510"/>
      <c r="I256" s="1512"/>
      <c r="J256" s="1512"/>
      <c r="K256" s="1635" t="str">
        <f t="shared" si="18"/>
        <v/>
      </c>
      <c r="L256" s="1633"/>
      <c r="M256" s="1512"/>
      <c r="N256" s="1513" t="str">
        <f t="shared" si="19"/>
        <v/>
      </c>
      <c r="O256" s="1682" t="str">
        <f t="shared" si="20"/>
        <v/>
      </c>
      <c r="P256" s="1512"/>
      <c r="Q256" s="1513" t="str">
        <f t="shared" si="21"/>
        <v/>
      </c>
      <c r="R256" s="1683" t="str">
        <f t="shared" si="22"/>
        <v/>
      </c>
      <c r="S256" s="1512"/>
      <c r="T256" s="1513" t="str">
        <f t="shared" si="23"/>
        <v/>
      </c>
      <c r="U256" s="1512"/>
      <c r="V256" s="1512"/>
      <c r="W256" s="1638"/>
      <c r="X256" s="955"/>
      <c r="Y256" s="955"/>
      <c r="Z256" s="955"/>
      <c r="AA256" s="955"/>
      <c r="AB256" s="955"/>
      <c r="AC256" s="955"/>
      <c r="AD256" s="955"/>
      <c r="AE256" s="955"/>
      <c r="AF256" s="955"/>
      <c r="AG256" s="955"/>
      <c r="AH256" s="955"/>
      <c r="AI256" s="955"/>
      <c r="AJ256" s="955"/>
      <c r="AK256" s="955"/>
      <c r="AL256" s="955"/>
      <c r="AM256" s="955"/>
      <c r="AN256" s="955"/>
      <c r="AO256" s="955"/>
      <c r="AP256" s="955"/>
      <c r="AQ256" s="955"/>
      <c r="AR256" s="955"/>
      <c r="AS256" s="955"/>
    </row>
    <row r="257" spans="2:45" s="1514" customFormat="1" x14ac:dyDescent="0.2">
      <c r="B257" s="1640"/>
      <c r="C257" s="1517"/>
      <c r="D257" s="1516"/>
      <c r="E257" s="1518"/>
      <c r="F257" s="1510"/>
      <c r="G257" s="1510"/>
      <c r="H257" s="1510"/>
      <c r="I257" s="1512"/>
      <c r="J257" s="1512"/>
      <c r="K257" s="1635" t="str">
        <f t="shared" si="18"/>
        <v/>
      </c>
      <c r="L257" s="1633"/>
      <c r="M257" s="1512"/>
      <c r="N257" s="1513" t="str">
        <f t="shared" si="19"/>
        <v/>
      </c>
      <c r="O257" s="1682" t="str">
        <f t="shared" si="20"/>
        <v/>
      </c>
      <c r="P257" s="1512"/>
      <c r="Q257" s="1513" t="str">
        <f t="shared" si="21"/>
        <v/>
      </c>
      <c r="R257" s="1683" t="str">
        <f t="shared" si="22"/>
        <v/>
      </c>
      <c r="S257" s="1512"/>
      <c r="T257" s="1513" t="str">
        <f t="shared" si="23"/>
        <v/>
      </c>
      <c r="U257" s="1512"/>
      <c r="V257" s="1512"/>
      <c r="W257" s="1638"/>
      <c r="X257" s="955"/>
      <c r="Y257" s="955"/>
      <c r="Z257" s="955"/>
      <c r="AA257" s="955"/>
      <c r="AB257" s="955"/>
      <c r="AC257" s="955"/>
      <c r="AD257" s="955"/>
      <c r="AE257" s="955"/>
      <c r="AF257" s="955"/>
      <c r="AG257" s="955"/>
      <c r="AH257" s="955"/>
      <c r="AI257" s="955"/>
      <c r="AJ257" s="955"/>
      <c r="AK257" s="955"/>
      <c r="AL257" s="955"/>
      <c r="AM257" s="955"/>
      <c r="AN257" s="955"/>
      <c r="AO257" s="955"/>
      <c r="AP257" s="955"/>
      <c r="AQ257" s="955"/>
      <c r="AR257" s="955"/>
      <c r="AS257" s="955"/>
    </row>
    <row r="258" spans="2:45" s="1514" customFormat="1" x14ac:dyDescent="0.2">
      <c r="B258" s="1640"/>
      <c r="C258" s="1517"/>
      <c r="D258" s="1516"/>
      <c r="E258" s="1518"/>
      <c r="F258" s="1510"/>
      <c r="G258" s="1510"/>
      <c r="H258" s="1510"/>
      <c r="I258" s="1512"/>
      <c r="J258" s="1512"/>
      <c r="K258" s="1635" t="str">
        <f t="shared" si="18"/>
        <v/>
      </c>
      <c r="L258" s="1633"/>
      <c r="M258" s="1512"/>
      <c r="N258" s="1513" t="str">
        <f t="shared" si="19"/>
        <v/>
      </c>
      <c r="O258" s="1682" t="str">
        <f t="shared" si="20"/>
        <v/>
      </c>
      <c r="P258" s="1512"/>
      <c r="Q258" s="1513" t="str">
        <f t="shared" si="21"/>
        <v/>
      </c>
      <c r="R258" s="1683" t="str">
        <f t="shared" si="22"/>
        <v/>
      </c>
      <c r="S258" s="1512"/>
      <c r="T258" s="1513" t="str">
        <f t="shared" si="23"/>
        <v/>
      </c>
      <c r="U258" s="1512"/>
      <c r="V258" s="1512"/>
      <c r="W258" s="1638"/>
      <c r="X258" s="955"/>
      <c r="Y258" s="955"/>
      <c r="Z258" s="955"/>
      <c r="AA258" s="955"/>
      <c r="AB258" s="955"/>
      <c r="AC258" s="955"/>
      <c r="AD258" s="955"/>
      <c r="AE258" s="955"/>
      <c r="AF258" s="955"/>
      <c r="AG258" s="955"/>
      <c r="AH258" s="955"/>
      <c r="AI258" s="955"/>
      <c r="AJ258" s="955"/>
      <c r="AK258" s="955"/>
      <c r="AL258" s="955"/>
      <c r="AM258" s="955"/>
      <c r="AN258" s="955"/>
      <c r="AO258" s="955"/>
      <c r="AP258" s="955"/>
      <c r="AQ258" s="955"/>
      <c r="AR258" s="955"/>
      <c r="AS258" s="955"/>
    </row>
    <row r="259" spans="2:45" s="1514" customFormat="1" x14ac:dyDescent="0.2">
      <c r="B259" s="1640"/>
      <c r="C259" s="1517"/>
      <c r="D259" s="1516"/>
      <c r="E259" s="1518"/>
      <c r="F259" s="1510"/>
      <c r="G259" s="1510"/>
      <c r="H259" s="1510"/>
      <c r="I259" s="1512"/>
      <c r="J259" s="1512"/>
      <c r="K259" s="1635" t="str">
        <f t="shared" si="18"/>
        <v/>
      </c>
      <c r="L259" s="1633"/>
      <c r="M259" s="1512"/>
      <c r="N259" s="1513" t="str">
        <f t="shared" si="19"/>
        <v/>
      </c>
      <c r="O259" s="1682" t="str">
        <f t="shared" si="20"/>
        <v/>
      </c>
      <c r="P259" s="1512"/>
      <c r="Q259" s="1513" t="str">
        <f t="shared" si="21"/>
        <v/>
      </c>
      <c r="R259" s="1683" t="str">
        <f t="shared" si="22"/>
        <v/>
      </c>
      <c r="S259" s="1512"/>
      <c r="T259" s="1513" t="str">
        <f t="shared" si="23"/>
        <v/>
      </c>
      <c r="U259" s="1512"/>
      <c r="V259" s="1512"/>
      <c r="W259" s="1638"/>
      <c r="X259" s="955"/>
      <c r="Y259" s="955"/>
      <c r="Z259" s="955"/>
      <c r="AA259" s="955"/>
      <c r="AB259" s="955"/>
      <c r="AC259" s="955"/>
      <c r="AD259" s="955"/>
      <c r="AE259" s="955"/>
      <c r="AF259" s="955"/>
      <c r="AG259" s="955"/>
      <c r="AH259" s="955"/>
      <c r="AI259" s="955"/>
      <c r="AJ259" s="955"/>
      <c r="AK259" s="955"/>
      <c r="AL259" s="955"/>
      <c r="AM259" s="955"/>
      <c r="AN259" s="955"/>
      <c r="AO259" s="955"/>
      <c r="AP259" s="955"/>
      <c r="AQ259" s="955"/>
      <c r="AR259" s="955"/>
      <c r="AS259" s="955"/>
    </row>
    <row r="260" spans="2:45" s="1514" customFormat="1" x14ac:dyDescent="0.2">
      <c r="B260" s="1640"/>
      <c r="C260" s="1517"/>
      <c r="D260" s="1516"/>
      <c r="E260" s="1518"/>
      <c r="F260" s="1510"/>
      <c r="G260" s="1510"/>
      <c r="H260" s="1510"/>
      <c r="I260" s="1512"/>
      <c r="J260" s="1512"/>
      <c r="K260" s="1635" t="str">
        <f t="shared" si="18"/>
        <v/>
      </c>
      <c r="L260" s="1633"/>
      <c r="M260" s="1512"/>
      <c r="N260" s="1513" t="str">
        <f t="shared" si="19"/>
        <v/>
      </c>
      <c r="O260" s="1682" t="str">
        <f t="shared" si="20"/>
        <v/>
      </c>
      <c r="P260" s="1512"/>
      <c r="Q260" s="1513" t="str">
        <f t="shared" si="21"/>
        <v/>
      </c>
      <c r="R260" s="1683" t="str">
        <f t="shared" si="22"/>
        <v/>
      </c>
      <c r="S260" s="1512"/>
      <c r="T260" s="1513" t="str">
        <f t="shared" si="23"/>
        <v/>
      </c>
      <c r="U260" s="1512"/>
      <c r="V260" s="1512"/>
      <c r="W260" s="1638"/>
      <c r="X260" s="955"/>
      <c r="Y260" s="955"/>
      <c r="Z260" s="955"/>
      <c r="AA260" s="955"/>
      <c r="AB260" s="955"/>
      <c r="AC260" s="955"/>
      <c r="AD260" s="955"/>
      <c r="AE260" s="955"/>
      <c r="AF260" s="955"/>
      <c r="AG260" s="955"/>
      <c r="AH260" s="955"/>
      <c r="AI260" s="955"/>
      <c r="AJ260" s="955"/>
      <c r="AK260" s="955"/>
      <c r="AL260" s="955"/>
      <c r="AM260" s="955"/>
      <c r="AN260" s="955"/>
      <c r="AO260" s="955"/>
      <c r="AP260" s="955"/>
      <c r="AQ260" s="955"/>
      <c r="AR260" s="955"/>
      <c r="AS260" s="955"/>
    </row>
    <row r="261" spans="2:45" s="1514" customFormat="1" x14ac:dyDescent="0.2">
      <c r="B261" s="1640"/>
      <c r="C261" s="1517"/>
      <c r="D261" s="1516"/>
      <c r="E261" s="1518"/>
      <c r="F261" s="1510"/>
      <c r="G261" s="1510"/>
      <c r="H261" s="1510"/>
      <c r="I261" s="1512"/>
      <c r="J261" s="1512"/>
      <c r="K261" s="1635" t="str">
        <f t="shared" si="18"/>
        <v/>
      </c>
      <c r="L261" s="1633"/>
      <c r="M261" s="1512"/>
      <c r="N261" s="1513" t="str">
        <f t="shared" si="19"/>
        <v/>
      </c>
      <c r="O261" s="1682" t="str">
        <f t="shared" si="20"/>
        <v/>
      </c>
      <c r="P261" s="1512"/>
      <c r="Q261" s="1513" t="str">
        <f t="shared" si="21"/>
        <v/>
      </c>
      <c r="R261" s="1683" t="str">
        <f t="shared" si="22"/>
        <v/>
      </c>
      <c r="S261" s="1512"/>
      <c r="T261" s="1513" t="str">
        <f t="shared" si="23"/>
        <v/>
      </c>
      <c r="U261" s="1512"/>
      <c r="V261" s="1512"/>
      <c r="W261" s="1638"/>
      <c r="X261" s="955"/>
      <c r="Y261" s="955"/>
      <c r="Z261" s="955"/>
      <c r="AA261" s="955"/>
      <c r="AB261" s="955"/>
      <c r="AC261" s="955"/>
      <c r="AD261" s="955"/>
      <c r="AE261" s="955"/>
      <c r="AF261" s="955"/>
      <c r="AG261" s="955"/>
      <c r="AH261" s="955"/>
      <c r="AI261" s="955"/>
      <c r="AJ261" s="955"/>
      <c r="AK261" s="955"/>
      <c r="AL261" s="955"/>
      <c r="AM261" s="955"/>
      <c r="AN261" s="955"/>
      <c r="AO261" s="955"/>
      <c r="AP261" s="955"/>
      <c r="AQ261" s="955"/>
      <c r="AR261" s="955"/>
      <c r="AS261" s="955"/>
    </row>
    <row r="262" spans="2:45" s="1514" customFormat="1" x14ac:dyDescent="0.2">
      <c r="B262" s="1640"/>
      <c r="C262" s="1517"/>
      <c r="D262" s="1516"/>
      <c r="E262" s="1518"/>
      <c r="F262" s="1510"/>
      <c r="G262" s="1510"/>
      <c r="H262" s="1510"/>
      <c r="I262" s="1512"/>
      <c r="J262" s="1512"/>
      <c r="K262" s="1635" t="str">
        <f t="shared" si="18"/>
        <v/>
      </c>
      <c r="L262" s="1633"/>
      <c r="M262" s="1512"/>
      <c r="N262" s="1513" t="str">
        <f t="shared" si="19"/>
        <v/>
      </c>
      <c r="O262" s="1682" t="str">
        <f t="shared" si="20"/>
        <v/>
      </c>
      <c r="P262" s="1512"/>
      <c r="Q262" s="1513" t="str">
        <f t="shared" si="21"/>
        <v/>
      </c>
      <c r="R262" s="1683" t="str">
        <f t="shared" si="22"/>
        <v/>
      </c>
      <c r="S262" s="1512"/>
      <c r="T262" s="1513" t="str">
        <f t="shared" si="23"/>
        <v/>
      </c>
      <c r="U262" s="1512"/>
      <c r="V262" s="1512"/>
      <c r="W262" s="1638"/>
      <c r="X262" s="955"/>
      <c r="Y262" s="955"/>
      <c r="Z262" s="955"/>
      <c r="AA262" s="955"/>
      <c r="AB262" s="955"/>
      <c r="AC262" s="955"/>
      <c r="AD262" s="955"/>
      <c r="AE262" s="955"/>
      <c r="AF262" s="955"/>
      <c r="AG262" s="955"/>
      <c r="AH262" s="955"/>
      <c r="AI262" s="955"/>
      <c r="AJ262" s="955"/>
      <c r="AK262" s="955"/>
      <c r="AL262" s="955"/>
      <c r="AM262" s="955"/>
      <c r="AN262" s="955"/>
      <c r="AO262" s="955"/>
      <c r="AP262" s="955"/>
      <c r="AQ262" s="955"/>
      <c r="AR262" s="955"/>
      <c r="AS262" s="955"/>
    </row>
    <row r="263" spans="2:45" s="1514" customFormat="1" x14ac:dyDescent="0.2">
      <c r="B263" s="1640"/>
      <c r="C263" s="1517"/>
      <c r="D263" s="1516"/>
      <c r="E263" s="1518"/>
      <c r="F263" s="1510"/>
      <c r="G263" s="1510"/>
      <c r="H263" s="1510"/>
      <c r="I263" s="1512"/>
      <c r="J263" s="1512"/>
      <c r="K263" s="1635" t="str">
        <f t="shared" si="18"/>
        <v/>
      </c>
      <c r="L263" s="1633"/>
      <c r="M263" s="1512"/>
      <c r="N263" s="1513" t="str">
        <f t="shared" si="19"/>
        <v/>
      </c>
      <c r="O263" s="1682" t="str">
        <f t="shared" si="20"/>
        <v/>
      </c>
      <c r="P263" s="1512"/>
      <c r="Q263" s="1513" t="str">
        <f t="shared" si="21"/>
        <v/>
      </c>
      <c r="R263" s="1683" t="str">
        <f t="shared" si="22"/>
        <v/>
      </c>
      <c r="S263" s="1512"/>
      <c r="T263" s="1513" t="str">
        <f t="shared" si="23"/>
        <v/>
      </c>
      <c r="U263" s="1512"/>
      <c r="V263" s="1512"/>
      <c r="W263" s="1638"/>
      <c r="X263" s="955"/>
      <c r="Y263" s="955"/>
      <c r="Z263" s="955"/>
      <c r="AA263" s="955"/>
      <c r="AB263" s="955"/>
      <c r="AC263" s="955"/>
      <c r="AD263" s="955"/>
      <c r="AE263" s="955"/>
      <c r="AF263" s="955"/>
      <c r="AG263" s="955"/>
      <c r="AH263" s="955"/>
      <c r="AI263" s="955"/>
      <c r="AJ263" s="955"/>
      <c r="AK263" s="955"/>
      <c r="AL263" s="955"/>
      <c r="AM263" s="955"/>
      <c r="AN263" s="955"/>
      <c r="AO263" s="955"/>
      <c r="AP263" s="955"/>
      <c r="AQ263" s="955"/>
      <c r="AR263" s="955"/>
      <c r="AS263" s="955"/>
    </row>
    <row r="264" spans="2:45" s="1514" customFormat="1" x14ac:dyDescent="0.2">
      <c r="B264" s="1640"/>
      <c r="C264" s="1517"/>
      <c r="D264" s="1516"/>
      <c r="E264" s="1518"/>
      <c r="F264" s="1510"/>
      <c r="G264" s="1510"/>
      <c r="H264" s="1510"/>
      <c r="I264" s="1512"/>
      <c r="J264" s="1512"/>
      <c r="K264" s="1635" t="str">
        <f t="shared" si="18"/>
        <v/>
      </c>
      <c r="L264" s="1633"/>
      <c r="M264" s="1512"/>
      <c r="N264" s="1513" t="str">
        <f t="shared" si="19"/>
        <v/>
      </c>
      <c r="O264" s="1682" t="str">
        <f t="shared" si="20"/>
        <v/>
      </c>
      <c r="P264" s="1512"/>
      <c r="Q264" s="1513" t="str">
        <f t="shared" si="21"/>
        <v/>
      </c>
      <c r="R264" s="1683" t="str">
        <f t="shared" si="22"/>
        <v/>
      </c>
      <c r="S264" s="1512"/>
      <c r="T264" s="1513" t="str">
        <f t="shared" si="23"/>
        <v/>
      </c>
      <c r="U264" s="1512"/>
      <c r="V264" s="1512"/>
      <c r="W264" s="1638"/>
      <c r="X264" s="955"/>
      <c r="Y264" s="955"/>
      <c r="Z264" s="955"/>
      <c r="AA264" s="955"/>
      <c r="AB264" s="955"/>
      <c r="AC264" s="955"/>
      <c r="AD264" s="955"/>
      <c r="AE264" s="955"/>
      <c r="AF264" s="955"/>
      <c r="AG264" s="955"/>
      <c r="AH264" s="955"/>
      <c r="AI264" s="955"/>
      <c r="AJ264" s="955"/>
      <c r="AK264" s="955"/>
      <c r="AL264" s="955"/>
      <c r="AM264" s="955"/>
      <c r="AN264" s="955"/>
      <c r="AO264" s="955"/>
      <c r="AP264" s="955"/>
      <c r="AQ264" s="955"/>
      <c r="AR264" s="955"/>
      <c r="AS264" s="955"/>
    </row>
    <row r="265" spans="2:45" s="1514" customFormat="1" x14ac:dyDescent="0.2">
      <c r="B265" s="1640"/>
      <c r="C265" s="1517"/>
      <c r="D265" s="1516"/>
      <c r="E265" s="1518"/>
      <c r="F265" s="1510"/>
      <c r="G265" s="1510"/>
      <c r="H265" s="1510"/>
      <c r="I265" s="1512"/>
      <c r="J265" s="1512"/>
      <c r="K265" s="1635" t="str">
        <f t="shared" si="18"/>
        <v/>
      </c>
      <c r="L265" s="1633"/>
      <c r="M265" s="1512"/>
      <c r="N265" s="1513" t="str">
        <f t="shared" si="19"/>
        <v/>
      </c>
      <c r="O265" s="1682" t="str">
        <f t="shared" si="20"/>
        <v/>
      </c>
      <c r="P265" s="1512"/>
      <c r="Q265" s="1513" t="str">
        <f t="shared" si="21"/>
        <v/>
      </c>
      <c r="R265" s="1683" t="str">
        <f t="shared" si="22"/>
        <v/>
      </c>
      <c r="S265" s="1512"/>
      <c r="T265" s="1513" t="str">
        <f t="shared" si="23"/>
        <v/>
      </c>
      <c r="U265" s="1512"/>
      <c r="V265" s="1512"/>
      <c r="W265" s="1638"/>
      <c r="X265" s="955"/>
      <c r="Y265" s="955"/>
      <c r="Z265" s="955"/>
      <c r="AA265" s="955"/>
      <c r="AB265" s="955"/>
      <c r="AC265" s="955"/>
      <c r="AD265" s="955"/>
      <c r="AE265" s="955"/>
      <c r="AF265" s="955"/>
      <c r="AG265" s="955"/>
      <c r="AH265" s="955"/>
      <c r="AI265" s="955"/>
      <c r="AJ265" s="955"/>
      <c r="AK265" s="955"/>
      <c r="AL265" s="955"/>
      <c r="AM265" s="955"/>
      <c r="AN265" s="955"/>
      <c r="AO265" s="955"/>
      <c r="AP265" s="955"/>
      <c r="AQ265" s="955"/>
      <c r="AR265" s="955"/>
      <c r="AS265" s="955"/>
    </row>
    <row r="266" spans="2:45" s="1514" customFormat="1" x14ac:dyDescent="0.2">
      <c r="B266" s="1640"/>
      <c r="C266" s="1517"/>
      <c r="D266" s="1516"/>
      <c r="E266" s="1518"/>
      <c r="F266" s="1510"/>
      <c r="G266" s="1510"/>
      <c r="H266" s="1510"/>
      <c r="I266" s="1512"/>
      <c r="J266" s="1512"/>
      <c r="K266" s="1635" t="str">
        <f t="shared" si="18"/>
        <v/>
      </c>
      <c r="L266" s="1633"/>
      <c r="M266" s="1512"/>
      <c r="N266" s="1513" t="str">
        <f t="shared" si="19"/>
        <v/>
      </c>
      <c r="O266" s="1682" t="str">
        <f t="shared" si="20"/>
        <v/>
      </c>
      <c r="P266" s="1512"/>
      <c r="Q266" s="1513" t="str">
        <f t="shared" si="21"/>
        <v/>
      </c>
      <c r="R266" s="1683" t="str">
        <f t="shared" si="22"/>
        <v/>
      </c>
      <c r="S266" s="1512"/>
      <c r="T266" s="1513" t="str">
        <f t="shared" si="23"/>
        <v/>
      </c>
      <c r="U266" s="1512"/>
      <c r="V266" s="1512"/>
      <c r="W266" s="1638"/>
      <c r="X266" s="955"/>
      <c r="Y266" s="955"/>
      <c r="Z266" s="955"/>
      <c r="AA266" s="955"/>
      <c r="AB266" s="955"/>
      <c r="AC266" s="955"/>
      <c r="AD266" s="955"/>
      <c r="AE266" s="955"/>
      <c r="AF266" s="955"/>
      <c r="AG266" s="955"/>
      <c r="AH266" s="955"/>
      <c r="AI266" s="955"/>
      <c r="AJ266" s="955"/>
      <c r="AK266" s="955"/>
      <c r="AL266" s="955"/>
      <c r="AM266" s="955"/>
      <c r="AN266" s="955"/>
      <c r="AO266" s="955"/>
      <c r="AP266" s="955"/>
      <c r="AQ266" s="955"/>
      <c r="AR266" s="955"/>
      <c r="AS266" s="955"/>
    </row>
    <row r="267" spans="2:45" s="1514" customFormat="1" x14ac:dyDescent="0.2">
      <c r="B267" s="1640"/>
      <c r="C267" s="1517"/>
      <c r="D267" s="1516"/>
      <c r="E267" s="1518"/>
      <c r="F267" s="1510"/>
      <c r="G267" s="1510"/>
      <c r="H267" s="1510"/>
      <c r="I267" s="1512"/>
      <c r="J267" s="1512"/>
      <c r="K267" s="1635" t="str">
        <f t="shared" si="18"/>
        <v/>
      </c>
      <c r="L267" s="1633"/>
      <c r="M267" s="1512"/>
      <c r="N267" s="1513" t="str">
        <f t="shared" si="19"/>
        <v/>
      </c>
      <c r="O267" s="1682" t="str">
        <f t="shared" si="20"/>
        <v/>
      </c>
      <c r="P267" s="1512"/>
      <c r="Q267" s="1513" t="str">
        <f t="shared" si="21"/>
        <v/>
      </c>
      <c r="R267" s="1683" t="str">
        <f t="shared" si="22"/>
        <v/>
      </c>
      <c r="S267" s="1512"/>
      <c r="T267" s="1513" t="str">
        <f t="shared" si="23"/>
        <v/>
      </c>
      <c r="U267" s="1512"/>
      <c r="V267" s="1512"/>
      <c r="W267" s="1638"/>
      <c r="X267" s="955"/>
      <c r="Y267" s="955"/>
      <c r="Z267" s="955"/>
      <c r="AA267" s="955"/>
      <c r="AB267" s="955"/>
      <c r="AC267" s="955"/>
      <c r="AD267" s="955"/>
      <c r="AE267" s="955"/>
      <c r="AF267" s="955"/>
      <c r="AG267" s="955"/>
      <c r="AH267" s="955"/>
      <c r="AI267" s="955"/>
      <c r="AJ267" s="955"/>
      <c r="AK267" s="955"/>
      <c r="AL267" s="955"/>
      <c r="AM267" s="955"/>
      <c r="AN267" s="955"/>
      <c r="AO267" s="955"/>
      <c r="AP267" s="955"/>
      <c r="AQ267" s="955"/>
      <c r="AR267" s="955"/>
      <c r="AS267" s="955"/>
    </row>
    <row r="268" spans="2:45" s="1514" customFormat="1" x14ac:dyDescent="0.2">
      <c r="B268" s="1640"/>
      <c r="C268" s="1517"/>
      <c r="D268" s="1516"/>
      <c r="E268" s="1518"/>
      <c r="F268" s="1510"/>
      <c r="G268" s="1510"/>
      <c r="H268" s="1510"/>
      <c r="I268" s="1512"/>
      <c r="J268" s="1512"/>
      <c r="K268" s="1635" t="str">
        <f t="shared" si="18"/>
        <v/>
      </c>
      <c r="L268" s="1633"/>
      <c r="M268" s="1512"/>
      <c r="N268" s="1513" t="str">
        <f t="shared" si="19"/>
        <v/>
      </c>
      <c r="O268" s="1682" t="str">
        <f t="shared" si="20"/>
        <v/>
      </c>
      <c r="P268" s="1512"/>
      <c r="Q268" s="1513" t="str">
        <f t="shared" si="21"/>
        <v/>
      </c>
      <c r="R268" s="1683" t="str">
        <f t="shared" si="22"/>
        <v/>
      </c>
      <c r="S268" s="1512"/>
      <c r="T268" s="1513" t="str">
        <f t="shared" si="23"/>
        <v/>
      </c>
      <c r="U268" s="1512"/>
      <c r="V268" s="1512"/>
      <c r="W268" s="1638"/>
      <c r="X268" s="955"/>
      <c r="Y268" s="955"/>
      <c r="Z268" s="955"/>
      <c r="AA268" s="955"/>
      <c r="AB268" s="955"/>
      <c r="AC268" s="955"/>
      <c r="AD268" s="955"/>
      <c r="AE268" s="955"/>
      <c r="AF268" s="955"/>
      <c r="AG268" s="955"/>
      <c r="AH268" s="955"/>
      <c r="AI268" s="955"/>
      <c r="AJ268" s="955"/>
      <c r="AK268" s="955"/>
      <c r="AL268" s="955"/>
      <c r="AM268" s="955"/>
      <c r="AN268" s="955"/>
      <c r="AO268" s="955"/>
      <c r="AP268" s="955"/>
      <c r="AQ268" s="955"/>
      <c r="AR268" s="955"/>
      <c r="AS268" s="955"/>
    </row>
    <row r="269" spans="2:45" s="1514" customFormat="1" x14ac:dyDescent="0.2">
      <c r="B269" s="1640"/>
      <c r="C269" s="1517"/>
      <c r="D269" s="1516"/>
      <c r="E269" s="1518"/>
      <c r="F269" s="1510"/>
      <c r="G269" s="1510"/>
      <c r="H269" s="1510"/>
      <c r="I269" s="1512"/>
      <c r="J269" s="1512"/>
      <c r="K269" s="1635" t="str">
        <f t="shared" si="18"/>
        <v/>
      </c>
      <c r="L269" s="1633"/>
      <c r="M269" s="1512"/>
      <c r="N269" s="1513" t="str">
        <f t="shared" si="19"/>
        <v/>
      </c>
      <c r="O269" s="1682" t="str">
        <f t="shared" si="20"/>
        <v/>
      </c>
      <c r="P269" s="1512"/>
      <c r="Q269" s="1513" t="str">
        <f t="shared" si="21"/>
        <v/>
      </c>
      <c r="R269" s="1683" t="str">
        <f t="shared" si="22"/>
        <v/>
      </c>
      <c r="S269" s="1512"/>
      <c r="T269" s="1513" t="str">
        <f t="shared" si="23"/>
        <v/>
      </c>
      <c r="U269" s="1512"/>
      <c r="V269" s="1512"/>
      <c r="W269" s="1638"/>
      <c r="X269" s="955"/>
      <c r="Y269" s="955"/>
      <c r="Z269" s="955"/>
      <c r="AA269" s="955"/>
      <c r="AB269" s="955"/>
      <c r="AC269" s="955"/>
      <c r="AD269" s="955"/>
      <c r="AE269" s="955"/>
      <c r="AF269" s="955"/>
      <c r="AG269" s="955"/>
      <c r="AH269" s="955"/>
      <c r="AI269" s="955"/>
      <c r="AJ269" s="955"/>
      <c r="AK269" s="955"/>
      <c r="AL269" s="955"/>
      <c r="AM269" s="955"/>
      <c r="AN269" s="955"/>
      <c r="AO269" s="955"/>
      <c r="AP269" s="955"/>
      <c r="AQ269" s="955"/>
      <c r="AR269" s="955"/>
      <c r="AS269" s="955"/>
    </row>
    <row r="270" spans="2:45" s="1514" customFormat="1" x14ac:dyDescent="0.2">
      <c r="B270" s="1640"/>
      <c r="C270" s="1517"/>
      <c r="D270" s="1516"/>
      <c r="E270" s="1518"/>
      <c r="F270" s="1510"/>
      <c r="G270" s="1510"/>
      <c r="H270" s="1510"/>
      <c r="I270" s="1512"/>
      <c r="J270" s="1512"/>
      <c r="K270" s="1635" t="str">
        <f t="shared" si="18"/>
        <v/>
      </c>
      <c r="L270" s="1633"/>
      <c r="M270" s="1512"/>
      <c r="N270" s="1513" t="str">
        <f t="shared" si="19"/>
        <v/>
      </c>
      <c r="O270" s="1682" t="str">
        <f t="shared" si="20"/>
        <v/>
      </c>
      <c r="P270" s="1512"/>
      <c r="Q270" s="1513" t="str">
        <f t="shared" si="21"/>
        <v/>
      </c>
      <c r="R270" s="1683" t="str">
        <f t="shared" si="22"/>
        <v/>
      </c>
      <c r="S270" s="1512"/>
      <c r="T270" s="1513" t="str">
        <f t="shared" si="23"/>
        <v/>
      </c>
      <c r="U270" s="1512"/>
      <c r="V270" s="1512"/>
      <c r="W270" s="1638"/>
      <c r="X270" s="955"/>
      <c r="Y270" s="955"/>
      <c r="Z270" s="955"/>
      <c r="AA270" s="955"/>
      <c r="AB270" s="955"/>
      <c r="AC270" s="955"/>
      <c r="AD270" s="955"/>
      <c r="AE270" s="955"/>
      <c r="AF270" s="955"/>
      <c r="AG270" s="955"/>
      <c r="AH270" s="955"/>
      <c r="AI270" s="955"/>
      <c r="AJ270" s="955"/>
      <c r="AK270" s="955"/>
      <c r="AL270" s="955"/>
      <c r="AM270" s="955"/>
      <c r="AN270" s="955"/>
      <c r="AO270" s="955"/>
      <c r="AP270" s="955"/>
      <c r="AQ270" s="955"/>
      <c r="AR270" s="955"/>
      <c r="AS270" s="955"/>
    </row>
    <row r="271" spans="2:45" s="1514" customFormat="1" x14ac:dyDescent="0.2">
      <c r="B271" s="1640"/>
      <c r="C271" s="1517"/>
      <c r="D271" s="1516"/>
      <c r="E271" s="1518"/>
      <c r="F271" s="1510"/>
      <c r="G271" s="1510"/>
      <c r="H271" s="1510"/>
      <c r="I271" s="1512"/>
      <c r="J271" s="1512"/>
      <c r="K271" s="1635" t="str">
        <f t="shared" si="18"/>
        <v/>
      </c>
      <c r="L271" s="1633"/>
      <c r="M271" s="1512"/>
      <c r="N271" s="1513" t="str">
        <f t="shared" si="19"/>
        <v/>
      </c>
      <c r="O271" s="1682" t="str">
        <f t="shared" si="20"/>
        <v/>
      </c>
      <c r="P271" s="1512"/>
      <c r="Q271" s="1513" t="str">
        <f t="shared" si="21"/>
        <v/>
      </c>
      <c r="R271" s="1683" t="str">
        <f t="shared" si="22"/>
        <v/>
      </c>
      <c r="S271" s="1512"/>
      <c r="T271" s="1513" t="str">
        <f t="shared" si="23"/>
        <v/>
      </c>
      <c r="U271" s="1512"/>
      <c r="V271" s="1512"/>
      <c r="W271" s="1638"/>
      <c r="X271" s="955"/>
      <c r="Y271" s="955"/>
      <c r="Z271" s="955"/>
      <c r="AA271" s="955"/>
      <c r="AB271" s="955"/>
      <c r="AC271" s="955"/>
      <c r="AD271" s="955"/>
      <c r="AE271" s="955"/>
      <c r="AF271" s="955"/>
      <c r="AG271" s="955"/>
      <c r="AH271" s="955"/>
      <c r="AI271" s="955"/>
      <c r="AJ271" s="955"/>
      <c r="AK271" s="955"/>
      <c r="AL271" s="955"/>
      <c r="AM271" s="955"/>
      <c r="AN271" s="955"/>
      <c r="AO271" s="955"/>
      <c r="AP271" s="955"/>
      <c r="AQ271" s="955"/>
      <c r="AR271" s="955"/>
      <c r="AS271" s="955"/>
    </row>
    <row r="272" spans="2:45" s="1514" customFormat="1" x14ac:dyDescent="0.2">
      <c r="B272" s="1640"/>
      <c r="C272" s="1517"/>
      <c r="D272" s="1516"/>
      <c r="E272" s="1518"/>
      <c r="F272" s="1510"/>
      <c r="G272" s="1510"/>
      <c r="H272" s="1510"/>
      <c r="I272" s="1512"/>
      <c r="J272" s="1512"/>
      <c r="K272" s="1635" t="str">
        <f t="shared" si="18"/>
        <v/>
      </c>
      <c r="L272" s="1633"/>
      <c r="M272" s="1512"/>
      <c r="N272" s="1513" t="str">
        <f t="shared" si="19"/>
        <v/>
      </c>
      <c r="O272" s="1682" t="str">
        <f t="shared" si="20"/>
        <v/>
      </c>
      <c r="P272" s="1512"/>
      <c r="Q272" s="1513" t="str">
        <f t="shared" si="21"/>
        <v/>
      </c>
      <c r="R272" s="1683" t="str">
        <f t="shared" si="22"/>
        <v/>
      </c>
      <c r="S272" s="1512"/>
      <c r="T272" s="1513" t="str">
        <f t="shared" si="23"/>
        <v/>
      </c>
      <c r="U272" s="1512"/>
      <c r="V272" s="1512"/>
      <c r="W272" s="1638"/>
      <c r="X272" s="955"/>
      <c r="Y272" s="955"/>
      <c r="Z272" s="955"/>
      <c r="AA272" s="955"/>
      <c r="AB272" s="955"/>
      <c r="AC272" s="955"/>
      <c r="AD272" s="955"/>
      <c r="AE272" s="955"/>
      <c r="AF272" s="955"/>
      <c r="AG272" s="955"/>
      <c r="AH272" s="955"/>
      <c r="AI272" s="955"/>
      <c r="AJ272" s="955"/>
      <c r="AK272" s="955"/>
      <c r="AL272" s="955"/>
      <c r="AM272" s="955"/>
      <c r="AN272" s="955"/>
      <c r="AO272" s="955"/>
      <c r="AP272" s="955"/>
      <c r="AQ272" s="955"/>
      <c r="AR272" s="955"/>
      <c r="AS272" s="955"/>
    </row>
    <row r="273" spans="2:45" s="1514" customFormat="1" x14ac:dyDescent="0.2">
      <c r="B273" s="1640"/>
      <c r="C273" s="1517"/>
      <c r="D273" s="1516"/>
      <c r="E273" s="1519"/>
      <c r="F273" s="1510"/>
      <c r="G273" s="1510"/>
      <c r="H273" s="1510"/>
      <c r="I273" s="1512"/>
      <c r="J273" s="1512"/>
      <c r="K273" s="1635" t="str">
        <f t="shared" si="18"/>
        <v/>
      </c>
      <c r="L273" s="1633"/>
      <c r="M273" s="1512"/>
      <c r="N273" s="1513" t="str">
        <f t="shared" si="19"/>
        <v/>
      </c>
      <c r="O273" s="1682" t="str">
        <f t="shared" si="20"/>
        <v/>
      </c>
      <c r="P273" s="1512"/>
      <c r="Q273" s="1513" t="str">
        <f t="shared" si="21"/>
        <v/>
      </c>
      <c r="R273" s="1683" t="str">
        <f t="shared" si="22"/>
        <v/>
      </c>
      <c r="S273" s="1512"/>
      <c r="T273" s="1513" t="str">
        <f t="shared" si="23"/>
        <v/>
      </c>
      <c r="U273" s="1512"/>
      <c r="V273" s="1512"/>
      <c r="W273" s="1638"/>
      <c r="X273" s="955"/>
      <c r="Y273" s="955"/>
      <c r="Z273" s="955"/>
      <c r="AA273" s="955"/>
      <c r="AB273" s="955"/>
      <c r="AC273" s="955"/>
      <c r="AD273" s="955"/>
      <c r="AE273" s="955"/>
      <c r="AF273" s="955"/>
      <c r="AG273" s="955"/>
      <c r="AH273" s="955"/>
      <c r="AI273" s="955"/>
      <c r="AJ273" s="955"/>
      <c r="AK273" s="955"/>
      <c r="AL273" s="955"/>
      <c r="AM273" s="955"/>
      <c r="AN273" s="955"/>
      <c r="AO273" s="955"/>
      <c r="AP273" s="955"/>
      <c r="AQ273" s="955"/>
      <c r="AR273" s="955"/>
      <c r="AS273" s="955"/>
    </row>
    <row r="274" spans="2:45" s="1514" customFormat="1" x14ac:dyDescent="0.2">
      <c r="B274" s="1640"/>
      <c r="C274" s="1517"/>
      <c r="D274" s="1516"/>
      <c r="E274" s="1519"/>
      <c r="F274" s="1510"/>
      <c r="G274" s="1510"/>
      <c r="H274" s="1510"/>
      <c r="I274" s="1512"/>
      <c r="J274" s="1512"/>
      <c r="K274" s="1635" t="str">
        <f t="shared" si="18"/>
        <v/>
      </c>
      <c r="L274" s="1633"/>
      <c r="M274" s="1512"/>
      <c r="N274" s="1513" t="str">
        <f t="shared" si="19"/>
        <v/>
      </c>
      <c r="O274" s="1682" t="str">
        <f t="shared" si="20"/>
        <v/>
      </c>
      <c r="P274" s="1512"/>
      <c r="Q274" s="1513" t="str">
        <f t="shared" si="21"/>
        <v/>
      </c>
      <c r="R274" s="1683" t="str">
        <f t="shared" si="22"/>
        <v/>
      </c>
      <c r="S274" s="1512"/>
      <c r="T274" s="1513" t="str">
        <f t="shared" si="23"/>
        <v/>
      </c>
      <c r="U274" s="1512"/>
      <c r="V274" s="1512"/>
      <c r="W274" s="1638"/>
      <c r="X274" s="955"/>
      <c r="Y274" s="955"/>
      <c r="Z274" s="955"/>
      <c r="AA274" s="955"/>
      <c r="AB274" s="955"/>
      <c r="AC274" s="955"/>
      <c r="AD274" s="955"/>
      <c r="AE274" s="955"/>
      <c r="AF274" s="955"/>
      <c r="AG274" s="955"/>
      <c r="AH274" s="955"/>
      <c r="AI274" s="955"/>
      <c r="AJ274" s="955"/>
      <c r="AK274" s="955"/>
      <c r="AL274" s="955"/>
      <c r="AM274" s="955"/>
      <c r="AN274" s="955"/>
      <c r="AO274" s="955"/>
      <c r="AP274" s="955"/>
      <c r="AQ274" s="955"/>
      <c r="AR274" s="955"/>
      <c r="AS274" s="955"/>
    </row>
    <row r="275" spans="2:45" s="1514" customFormat="1" x14ac:dyDescent="0.2">
      <c r="B275" s="1640"/>
      <c r="C275" s="1517"/>
      <c r="D275" s="1516"/>
      <c r="E275" s="1519"/>
      <c r="F275" s="1510"/>
      <c r="G275" s="1510"/>
      <c r="H275" s="1510"/>
      <c r="I275" s="1512"/>
      <c r="J275" s="1512"/>
      <c r="K275" s="1635" t="str">
        <f t="shared" si="18"/>
        <v/>
      </c>
      <c r="L275" s="1633"/>
      <c r="M275" s="1512"/>
      <c r="N275" s="1513" t="str">
        <f t="shared" si="19"/>
        <v/>
      </c>
      <c r="O275" s="1682" t="str">
        <f t="shared" si="20"/>
        <v/>
      </c>
      <c r="P275" s="1512"/>
      <c r="Q275" s="1513" t="str">
        <f t="shared" si="21"/>
        <v/>
      </c>
      <c r="R275" s="1683" t="str">
        <f t="shared" si="22"/>
        <v/>
      </c>
      <c r="S275" s="1512"/>
      <c r="T275" s="1513" t="str">
        <f t="shared" si="23"/>
        <v/>
      </c>
      <c r="U275" s="1512"/>
      <c r="V275" s="1512"/>
      <c r="W275" s="1638"/>
      <c r="X275" s="955"/>
      <c r="Y275" s="955"/>
      <c r="Z275" s="955"/>
      <c r="AA275" s="955"/>
      <c r="AB275" s="955"/>
      <c r="AC275" s="955"/>
      <c r="AD275" s="955"/>
      <c r="AE275" s="955"/>
      <c r="AF275" s="955"/>
      <c r="AG275" s="955"/>
      <c r="AH275" s="955"/>
      <c r="AI275" s="955"/>
      <c r="AJ275" s="955"/>
      <c r="AK275" s="955"/>
      <c r="AL275" s="955"/>
      <c r="AM275" s="955"/>
      <c r="AN275" s="955"/>
      <c r="AO275" s="955"/>
      <c r="AP275" s="955"/>
      <c r="AQ275" s="955"/>
      <c r="AR275" s="955"/>
      <c r="AS275" s="955"/>
    </row>
    <row r="276" spans="2:45" s="1514" customFormat="1" x14ac:dyDescent="0.2">
      <c r="B276" s="1640"/>
      <c r="C276" s="1517"/>
      <c r="D276" s="1516"/>
      <c r="E276" s="1519"/>
      <c r="F276" s="1510"/>
      <c r="G276" s="1510"/>
      <c r="H276" s="1510"/>
      <c r="I276" s="1512"/>
      <c r="J276" s="1512"/>
      <c r="K276" s="1635" t="str">
        <f t="shared" si="18"/>
        <v/>
      </c>
      <c r="L276" s="1633"/>
      <c r="M276" s="1512"/>
      <c r="N276" s="1513" t="str">
        <f t="shared" si="19"/>
        <v/>
      </c>
      <c r="O276" s="1682" t="str">
        <f t="shared" si="20"/>
        <v/>
      </c>
      <c r="P276" s="1512"/>
      <c r="Q276" s="1513" t="str">
        <f t="shared" si="21"/>
        <v/>
      </c>
      <c r="R276" s="1683" t="str">
        <f t="shared" si="22"/>
        <v/>
      </c>
      <c r="S276" s="1512"/>
      <c r="T276" s="1513" t="str">
        <f t="shared" si="23"/>
        <v/>
      </c>
      <c r="U276" s="1512"/>
      <c r="V276" s="1512"/>
      <c r="W276" s="1638"/>
      <c r="X276" s="955"/>
      <c r="Y276" s="955"/>
      <c r="Z276" s="955"/>
      <c r="AA276" s="955"/>
      <c r="AB276" s="955"/>
      <c r="AC276" s="955"/>
      <c r="AD276" s="955"/>
      <c r="AE276" s="955"/>
      <c r="AF276" s="955"/>
      <c r="AG276" s="955"/>
      <c r="AH276" s="955"/>
      <c r="AI276" s="955"/>
      <c r="AJ276" s="955"/>
      <c r="AK276" s="955"/>
      <c r="AL276" s="955"/>
      <c r="AM276" s="955"/>
      <c r="AN276" s="955"/>
      <c r="AO276" s="955"/>
      <c r="AP276" s="955"/>
      <c r="AQ276" s="955"/>
      <c r="AR276" s="955"/>
      <c r="AS276" s="955"/>
    </row>
    <row r="277" spans="2:45" s="1514" customFormat="1" x14ac:dyDescent="0.2">
      <c r="B277" s="1640"/>
      <c r="C277" s="1517"/>
      <c r="D277" s="1516"/>
      <c r="E277" s="1519"/>
      <c r="F277" s="1510"/>
      <c r="G277" s="1510"/>
      <c r="H277" s="1510"/>
      <c r="I277" s="1512"/>
      <c r="J277" s="1512"/>
      <c r="K277" s="1635" t="str">
        <f t="shared" si="18"/>
        <v/>
      </c>
      <c r="L277" s="1633"/>
      <c r="M277" s="1512"/>
      <c r="N277" s="1513" t="str">
        <f t="shared" si="19"/>
        <v/>
      </c>
      <c r="O277" s="1682" t="str">
        <f t="shared" si="20"/>
        <v/>
      </c>
      <c r="P277" s="1512"/>
      <c r="Q277" s="1513" t="str">
        <f t="shared" si="21"/>
        <v/>
      </c>
      <c r="R277" s="1683" t="str">
        <f t="shared" si="22"/>
        <v/>
      </c>
      <c r="S277" s="1512"/>
      <c r="T277" s="1513" t="str">
        <f t="shared" si="23"/>
        <v/>
      </c>
      <c r="U277" s="1512"/>
      <c r="V277" s="1512"/>
      <c r="W277" s="1638"/>
      <c r="X277" s="955"/>
      <c r="Y277" s="955"/>
      <c r="Z277" s="955"/>
      <c r="AA277" s="955"/>
      <c r="AB277" s="955"/>
      <c r="AC277" s="955"/>
      <c r="AD277" s="955"/>
      <c r="AE277" s="955"/>
      <c r="AF277" s="955"/>
      <c r="AG277" s="955"/>
      <c r="AH277" s="955"/>
      <c r="AI277" s="955"/>
      <c r="AJ277" s="955"/>
      <c r="AK277" s="955"/>
      <c r="AL277" s="955"/>
      <c r="AM277" s="955"/>
      <c r="AN277" s="955"/>
      <c r="AO277" s="955"/>
      <c r="AP277" s="955"/>
      <c r="AQ277" s="955"/>
      <c r="AR277" s="955"/>
      <c r="AS277" s="955"/>
    </row>
    <row r="278" spans="2:45" s="1514" customFormat="1" x14ac:dyDescent="0.2">
      <c r="B278" s="1640"/>
      <c r="C278" s="1517"/>
      <c r="D278" s="1516"/>
      <c r="E278" s="1519"/>
      <c r="F278" s="1510"/>
      <c r="G278" s="1510"/>
      <c r="H278" s="1510"/>
      <c r="I278" s="1512"/>
      <c r="J278" s="1512"/>
      <c r="K278" s="1635" t="str">
        <f t="shared" si="18"/>
        <v/>
      </c>
      <c r="L278" s="1633"/>
      <c r="M278" s="1512"/>
      <c r="N278" s="1513" t="str">
        <f t="shared" si="19"/>
        <v/>
      </c>
      <c r="O278" s="1682" t="str">
        <f t="shared" si="20"/>
        <v/>
      </c>
      <c r="P278" s="1512"/>
      <c r="Q278" s="1513" t="str">
        <f t="shared" si="21"/>
        <v/>
      </c>
      <c r="R278" s="1683" t="str">
        <f t="shared" si="22"/>
        <v/>
      </c>
      <c r="S278" s="1512"/>
      <c r="T278" s="1513" t="str">
        <f t="shared" si="23"/>
        <v/>
      </c>
      <c r="U278" s="1512"/>
      <c r="V278" s="1512"/>
      <c r="W278" s="1638"/>
      <c r="X278" s="955"/>
      <c r="Y278" s="955"/>
      <c r="Z278" s="955"/>
      <c r="AA278" s="955"/>
      <c r="AB278" s="955"/>
      <c r="AC278" s="955"/>
      <c r="AD278" s="955"/>
      <c r="AE278" s="955"/>
      <c r="AF278" s="955"/>
      <c r="AG278" s="955"/>
      <c r="AH278" s="955"/>
      <c r="AI278" s="955"/>
      <c r="AJ278" s="955"/>
      <c r="AK278" s="955"/>
      <c r="AL278" s="955"/>
      <c r="AM278" s="955"/>
      <c r="AN278" s="955"/>
      <c r="AO278" s="955"/>
      <c r="AP278" s="955"/>
      <c r="AQ278" s="955"/>
      <c r="AR278" s="955"/>
      <c r="AS278" s="955"/>
    </row>
    <row r="279" spans="2:45" s="1514" customFormat="1" x14ac:dyDescent="0.2">
      <c r="B279" s="1640"/>
      <c r="C279" s="1517"/>
      <c r="D279" s="1516"/>
      <c r="E279" s="1519"/>
      <c r="F279" s="1510"/>
      <c r="G279" s="1510"/>
      <c r="H279" s="1510"/>
      <c r="I279" s="1512"/>
      <c r="J279" s="1512"/>
      <c r="K279" s="1635" t="str">
        <f t="shared" si="18"/>
        <v/>
      </c>
      <c r="L279" s="1633"/>
      <c r="M279" s="1512"/>
      <c r="N279" s="1513" t="str">
        <f t="shared" si="19"/>
        <v/>
      </c>
      <c r="O279" s="1682" t="str">
        <f t="shared" si="20"/>
        <v/>
      </c>
      <c r="P279" s="1512"/>
      <c r="Q279" s="1513" t="str">
        <f t="shared" si="21"/>
        <v/>
      </c>
      <c r="R279" s="1683" t="str">
        <f t="shared" si="22"/>
        <v/>
      </c>
      <c r="S279" s="1512"/>
      <c r="T279" s="1513" t="str">
        <f t="shared" si="23"/>
        <v/>
      </c>
      <c r="U279" s="1512"/>
      <c r="V279" s="1512"/>
      <c r="W279" s="1638"/>
      <c r="X279" s="955"/>
      <c r="Y279" s="955"/>
      <c r="Z279" s="955"/>
      <c r="AA279" s="955"/>
      <c r="AB279" s="955"/>
      <c r="AC279" s="955"/>
      <c r="AD279" s="955"/>
      <c r="AE279" s="955"/>
      <c r="AF279" s="955"/>
      <c r="AG279" s="955"/>
      <c r="AH279" s="955"/>
      <c r="AI279" s="955"/>
      <c r="AJ279" s="955"/>
      <c r="AK279" s="955"/>
      <c r="AL279" s="955"/>
      <c r="AM279" s="955"/>
      <c r="AN279" s="955"/>
      <c r="AO279" s="955"/>
      <c r="AP279" s="955"/>
      <c r="AQ279" s="955"/>
      <c r="AR279" s="955"/>
      <c r="AS279" s="955"/>
    </row>
    <row r="280" spans="2:45" s="1514" customFormat="1" x14ac:dyDescent="0.2">
      <c r="B280" s="1640"/>
      <c r="C280" s="1517"/>
      <c r="D280" s="1516"/>
      <c r="E280" s="1519"/>
      <c r="F280" s="1510"/>
      <c r="G280" s="1510"/>
      <c r="H280" s="1510"/>
      <c r="I280" s="1512"/>
      <c r="J280" s="1512"/>
      <c r="K280" s="1635" t="str">
        <f t="shared" si="18"/>
        <v/>
      </c>
      <c r="L280" s="1633"/>
      <c r="M280" s="1512"/>
      <c r="N280" s="1513" t="str">
        <f t="shared" si="19"/>
        <v/>
      </c>
      <c r="O280" s="1682" t="str">
        <f t="shared" si="20"/>
        <v/>
      </c>
      <c r="P280" s="1512"/>
      <c r="Q280" s="1513" t="str">
        <f t="shared" si="21"/>
        <v/>
      </c>
      <c r="R280" s="1683" t="str">
        <f t="shared" si="22"/>
        <v/>
      </c>
      <c r="S280" s="1512"/>
      <c r="T280" s="1513" t="str">
        <f t="shared" si="23"/>
        <v/>
      </c>
      <c r="U280" s="1512"/>
      <c r="V280" s="1512"/>
      <c r="W280" s="1638"/>
      <c r="X280" s="955"/>
      <c r="Y280" s="955"/>
      <c r="Z280" s="955"/>
      <c r="AA280" s="955"/>
      <c r="AB280" s="955"/>
      <c r="AC280" s="955"/>
      <c r="AD280" s="955"/>
      <c r="AE280" s="955"/>
      <c r="AF280" s="955"/>
      <c r="AG280" s="955"/>
      <c r="AH280" s="955"/>
      <c r="AI280" s="955"/>
      <c r="AJ280" s="955"/>
      <c r="AK280" s="955"/>
      <c r="AL280" s="955"/>
      <c r="AM280" s="955"/>
      <c r="AN280" s="955"/>
      <c r="AO280" s="955"/>
      <c r="AP280" s="955"/>
      <c r="AQ280" s="955"/>
      <c r="AR280" s="955"/>
      <c r="AS280" s="955"/>
    </row>
    <row r="281" spans="2:45" s="1514" customFormat="1" x14ac:dyDescent="0.2">
      <c r="B281" s="1640"/>
      <c r="C281" s="1517"/>
      <c r="D281" s="1516"/>
      <c r="E281" s="1519"/>
      <c r="F281" s="1510"/>
      <c r="G281" s="1510"/>
      <c r="H281" s="1510"/>
      <c r="I281" s="1512"/>
      <c r="J281" s="1512"/>
      <c r="K281" s="1635" t="str">
        <f t="shared" si="18"/>
        <v/>
      </c>
      <c r="L281" s="1633"/>
      <c r="M281" s="1512"/>
      <c r="N281" s="1513" t="str">
        <f t="shared" si="19"/>
        <v/>
      </c>
      <c r="O281" s="1682" t="str">
        <f t="shared" si="20"/>
        <v/>
      </c>
      <c r="P281" s="1512"/>
      <c r="Q281" s="1513" t="str">
        <f t="shared" si="21"/>
        <v/>
      </c>
      <c r="R281" s="1683" t="str">
        <f t="shared" si="22"/>
        <v/>
      </c>
      <c r="S281" s="1512"/>
      <c r="T281" s="1513" t="str">
        <f t="shared" si="23"/>
        <v/>
      </c>
      <c r="U281" s="1512"/>
      <c r="V281" s="1512"/>
      <c r="W281" s="1638"/>
      <c r="X281" s="955"/>
      <c r="Y281" s="955"/>
      <c r="Z281" s="955"/>
      <c r="AA281" s="955"/>
      <c r="AB281" s="955"/>
      <c r="AC281" s="955"/>
      <c r="AD281" s="955"/>
      <c r="AE281" s="955"/>
      <c r="AF281" s="955"/>
      <c r="AG281" s="955"/>
      <c r="AH281" s="955"/>
      <c r="AI281" s="955"/>
      <c r="AJ281" s="955"/>
      <c r="AK281" s="955"/>
      <c r="AL281" s="955"/>
      <c r="AM281" s="955"/>
      <c r="AN281" s="955"/>
      <c r="AO281" s="955"/>
      <c r="AP281" s="955"/>
      <c r="AQ281" s="955"/>
      <c r="AR281" s="955"/>
      <c r="AS281" s="955"/>
    </row>
    <row r="282" spans="2:45" s="1514" customFormat="1" x14ac:dyDescent="0.2">
      <c r="B282" s="1640"/>
      <c r="C282" s="1517"/>
      <c r="D282" s="1516"/>
      <c r="E282" s="1519"/>
      <c r="F282" s="1510"/>
      <c r="G282" s="1510"/>
      <c r="H282" s="1510"/>
      <c r="I282" s="1512"/>
      <c r="J282" s="1512"/>
      <c r="K282" s="1635" t="str">
        <f t="shared" ref="K282:K345" si="24">IF(AND(I282=0,J282=0),"",IF(J282&lt;&gt;0,IF(J282&gt;I282,100,J282/I282*100),0))</f>
        <v/>
      </c>
      <c r="L282" s="1633"/>
      <c r="M282" s="1512"/>
      <c r="N282" s="1513" t="str">
        <f t="shared" ref="N282:N345" si="25">IF(AND(L282=0,M282=0),"",IF(M282&lt;&gt;0,IF(M282&gt;L282,100,M282/L282*100),0))</f>
        <v/>
      </c>
      <c r="O282" s="1682" t="str">
        <f t="shared" ref="O282:O345" si="26">IF(L282="","",L282)</f>
        <v/>
      </c>
      <c r="P282" s="1512"/>
      <c r="Q282" s="1513" t="str">
        <f t="shared" ref="Q282:Q345" si="27">IF(O282="","",IF(AND(O282=0,P282=0),0,IF(P282&lt;&gt;0,IF(P282&gt;O282,100,P282/O282*100),0)))</f>
        <v/>
      </c>
      <c r="R282" s="1683" t="str">
        <f t="shared" ref="R282:R345" si="28">IF(P282="","",P282)</f>
        <v/>
      </c>
      <c r="S282" s="1512"/>
      <c r="T282" s="1513" t="str">
        <f t="shared" ref="T282:T345" si="29">IF(R282="","",IF(AND(R282=0,S282=0),0,IF(S282&lt;&gt;0,IF(S282&gt;R282,100,S282/R282*100),0)))</f>
        <v/>
      </c>
      <c r="U282" s="1512"/>
      <c r="V282" s="1512"/>
      <c r="W282" s="1638"/>
      <c r="X282" s="955"/>
      <c r="Y282" s="955"/>
      <c r="Z282" s="955"/>
      <c r="AA282" s="955"/>
      <c r="AB282" s="955"/>
      <c r="AC282" s="955"/>
      <c r="AD282" s="955"/>
      <c r="AE282" s="955"/>
      <c r="AF282" s="955"/>
      <c r="AG282" s="955"/>
      <c r="AH282" s="955"/>
      <c r="AI282" s="955"/>
      <c r="AJ282" s="955"/>
      <c r="AK282" s="955"/>
      <c r="AL282" s="955"/>
      <c r="AM282" s="955"/>
      <c r="AN282" s="955"/>
      <c r="AO282" s="955"/>
      <c r="AP282" s="955"/>
      <c r="AQ282" s="955"/>
      <c r="AR282" s="955"/>
      <c r="AS282" s="955"/>
    </row>
    <row r="283" spans="2:45" s="1514" customFormat="1" x14ac:dyDescent="0.2">
      <c r="B283" s="1640"/>
      <c r="C283" s="1517"/>
      <c r="D283" s="1516"/>
      <c r="E283" s="1520"/>
      <c r="F283" s="1510"/>
      <c r="G283" s="1510"/>
      <c r="H283" s="1510"/>
      <c r="I283" s="1512"/>
      <c r="J283" s="1512"/>
      <c r="K283" s="1635" t="str">
        <f t="shared" si="24"/>
        <v/>
      </c>
      <c r="L283" s="1633"/>
      <c r="M283" s="1512"/>
      <c r="N283" s="1513" t="str">
        <f t="shared" si="25"/>
        <v/>
      </c>
      <c r="O283" s="1682" t="str">
        <f t="shared" si="26"/>
        <v/>
      </c>
      <c r="P283" s="1512"/>
      <c r="Q283" s="1513" t="str">
        <f t="shared" si="27"/>
        <v/>
      </c>
      <c r="R283" s="1683" t="str">
        <f t="shared" si="28"/>
        <v/>
      </c>
      <c r="S283" s="1512"/>
      <c r="T283" s="1513" t="str">
        <f t="shared" si="29"/>
        <v/>
      </c>
      <c r="U283" s="1512"/>
      <c r="V283" s="1512"/>
      <c r="W283" s="1638"/>
      <c r="X283" s="955"/>
      <c r="Y283" s="955"/>
      <c r="Z283" s="955"/>
      <c r="AA283" s="955"/>
      <c r="AB283" s="955"/>
      <c r="AC283" s="955"/>
      <c r="AD283" s="955"/>
      <c r="AE283" s="955"/>
      <c r="AF283" s="955"/>
      <c r="AG283" s="955"/>
      <c r="AH283" s="955"/>
      <c r="AI283" s="955"/>
      <c r="AJ283" s="955"/>
      <c r="AK283" s="955"/>
      <c r="AL283" s="955"/>
      <c r="AM283" s="955"/>
      <c r="AN283" s="955"/>
      <c r="AO283" s="955"/>
      <c r="AP283" s="955"/>
      <c r="AQ283" s="955"/>
      <c r="AR283" s="955"/>
      <c r="AS283" s="955"/>
    </row>
    <row r="284" spans="2:45" s="1514" customFormat="1" x14ac:dyDescent="0.2">
      <c r="B284" s="1640"/>
      <c r="C284" s="1517"/>
      <c r="D284" s="1516"/>
      <c r="E284" s="1520"/>
      <c r="F284" s="1510"/>
      <c r="G284" s="1510"/>
      <c r="H284" s="1510"/>
      <c r="I284" s="1512"/>
      <c r="J284" s="1512"/>
      <c r="K284" s="1635" t="str">
        <f t="shared" si="24"/>
        <v/>
      </c>
      <c r="L284" s="1633"/>
      <c r="M284" s="1512"/>
      <c r="N284" s="1513" t="str">
        <f t="shared" si="25"/>
        <v/>
      </c>
      <c r="O284" s="1682" t="str">
        <f t="shared" si="26"/>
        <v/>
      </c>
      <c r="P284" s="1512"/>
      <c r="Q284" s="1513" t="str">
        <f t="shared" si="27"/>
        <v/>
      </c>
      <c r="R284" s="1683" t="str">
        <f t="shared" si="28"/>
        <v/>
      </c>
      <c r="S284" s="1512"/>
      <c r="T284" s="1513" t="str">
        <f t="shared" si="29"/>
        <v/>
      </c>
      <c r="U284" s="1512"/>
      <c r="V284" s="1512"/>
      <c r="W284" s="1638"/>
      <c r="X284" s="955"/>
      <c r="Y284" s="955"/>
      <c r="Z284" s="955"/>
      <c r="AA284" s="955"/>
      <c r="AB284" s="955"/>
      <c r="AC284" s="955"/>
      <c r="AD284" s="955"/>
      <c r="AE284" s="955"/>
      <c r="AF284" s="955"/>
      <c r="AG284" s="955"/>
      <c r="AH284" s="955"/>
      <c r="AI284" s="955"/>
      <c r="AJ284" s="955"/>
      <c r="AK284" s="955"/>
      <c r="AL284" s="955"/>
      <c r="AM284" s="955"/>
      <c r="AN284" s="955"/>
      <c r="AO284" s="955"/>
      <c r="AP284" s="955"/>
      <c r="AQ284" s="955"/>
      <c r="AR284" s="955"/>
      <c r="AS284" s="955"/>
    </row>
    <row r="285" spans="2:45" s="1514" customFormat="1" x14ac:dyDescent="0.2">
      <c r="B285" s="1640"/>
      <c r="C285" s="1517"/>
      <c r="D285" s="1516"/>
      <c r="E285" s="1521"/>
      <c r="F285" s="1510"/>
      <c r="G285" s="1510"/>
      <c r="H285" s="1510"/>
      <c r="I285" s="1512"/>
      <c r="J285" s="1512"/>
      <c r="K285" s="1635" t="str">
        <f t="shared" si="24"/>
        <v/>
      </c>
      <c r="L285" s="1633"/>
      <c r="M285" s="1512"/>
      <c r="N285" s="1513" t="str">
        <f t="shared" si="25"/>
        <v/>
      </c>
      <c r="O285" s="1682" t="str">
        <f t="shared" si="26"/>
        <v/>
      </c>
      <c r="P285" s="1512"/>
      <c r="Q285" s="1513" t="str">
        <f t="shared" si="27"/>
        <v/>
      </c>
      <c r="R285" s="1683" t="str">
        <f t="shared" si="28"/>
        <v/>
      </c>
      <c r="S285" s="1512"/>
      <c r="T285" s="1513" t="str">
        <f t="shared" si="29"/>
        <v/>
      </c>
      <c r="U285" s="1512"/>
      <c r="V285" s="1512"/>
      <c r="W285" s="1638"/>
      <c r="X285" s="955"/>
      <c r="Y285" s="955"/>
      <c r="Z285" s="955"/>
      <c r="AA285" s="955"/>
      <c r="AB285" s="955"/>
      <c r="AC285" s="955"/>
      <c r="AD285" s="955"/>
      <c r="AE285" s="955"/>
      <c r="AF285" s="955"/>
      <c r="AG285" s="955"/>
      <c r="AH285" s="955"/>
      <c r="AI285" s="955"/>
      <c r="AJ285" s="955"/>
      <c r="AK285" s="955"/>
      <c r="AL285" s="955"/>
      <c r="AM285" s="955"/>
      <c r="AN285" s="955"/>
      <c r="AO285" s="955"/>
      <c r="AP285" s="955"/>
      <c r="AQ285" s="955"/>
      <c r="AR285" s="955"/>
      <c r="AS285" s="955"/>
    </row>
    <row r="286" spans="2:45" s="1514" customFormat="1" x14ac:dyDescent="0.2">
      <c r="B286" s="1640"/>
      <c r="C286" s="1517"/>
      <c r="D286" s="1516"/>
      <c r="E286" s="1521"/>
      <c r="F286" s="1510"/>
      <c r="G286" s="1510"/>
      <c r="H286" s="1510"/>
      <c r="I286" s="1512"/>
      <c r="J286" s="1512"/>
      <c r="K286" s="1635" t="str">
        <f t="shared" si="24"/>
        <v/>
      </c>
      <c r="L286" s="1633"/>
      <c r="M286" s="1512"/>
      <c r="N286" s="1513" t="str">
        <f t="shared" si="25"/>
        <v/>
      </c>
      <c r="O286" s="1682" t="str">
        <f t="shared" si="26"/>
        <v/>
      </c>
      <c r="P286" s="1512"/>
      <c r="Q286" s="1513" t="str">
        <f t="shared" si="27"/>
        <v/>
      </c>
      <c r="R286" s="1683" t="str">
        <f t="shared" si="28"/>
        <v/>
      </c>
      <c r="S286" s="1512"/>
      <c r="T286" s="1513" t="str">
        <f t="shared" si="29"/>
        <v/>
      </c>
      <c r="U286" s="1512"/>
      <c r="V286" s="1512"/>
      <c r="W286" s="1638"/>
      <c r="X286" s="955"/>
      <c r="Y286" s="955"/>
      <c r="Z286" s="955"/>
      <c r="AA286" s="955"/>
      <c r="AB286" s="955"/>
      <c r="AC286" s="955"/>
      <c r="AD286" s="955"/>
      <c r="AE286" s="955"/>
      <c r="AF286" s="955"/>
      <c r="AG286" s="955"/>
      <c r="AH286" s="955"/>
      <c r="AI286" s="955"/>
      <c r="AJ286" s="955"/>
      <c r="AK286" s="955"/>
      <c r="AL286" s="955"/>
      <c r="AM286" s="955"/>
      <c r="AN286" s="955"/>
      <c r="AO286" s="955"/>
      <c r="AP286" s="955"/>
      <c r="AQ286" s="955"/>
      <c r="AR286" s="955"/>
      <c r="AS286" s="955"/>
    </row>
    <row r="287" spans="2:45" s="1514" customFormat="1" x14ac:dyDescent="0.2">
      <c r="B287" s="1640"/>
      <c r="C287" s="1517"/>
      <c r="D287" s="1516"/>
      <c r="E287" s="1521"/>
      <c r="F287" s="1510"/>
      <c r="G287" s="1510"/>
      <c r="H287" s="1510"/>
      <c r="I287" s="1512"/>
      <c r="J287" s="1512"/>
      <c r="K287" s="1635" t="str">
        <f t="shared" si="24"/>
        <v/>
      </c>
      <c r="L287" s="1633"/>
      <c r="M287" s="1512"/>
      <c r="N287" s="1513" t="str">
        <f t="shared" si="25"/>
        <v/>
      </c>
      <c r="O287" s="1682" t="str">
        <f t="shared" si="26"/>
        <v/>
      </c>
      <c r="P287" s="1512"/>
      <c r="Q287" s="1513" t="str">
        <f t="shared" si="27"/>
        <v/>
      </c>
      <c r="R287" s="1683" t="str">
        <f t="shared" si="28"/>
        <v/>
      </c>
      <c r="S287" s="1512"/>
      <c r="T287" s="1513" t="str">
        <f t="shared" si="29"/>
        <v/>
      </c>
      <c r="U287" s="1512"/>
      <c r="V287" s="1512"/>
      <c r="W287" s="1638"/>
      <c r="X287" s="955"/>
      <c r="Y287" s="955"/>
      <c r="Z287" s="955"/>
      <c r="AA287" s="955"/>
      <c r="AB287" s="955"/>
      <c r="AC287" s="955"/>
      <c r="AD287" s="955"/>
      <c r="AE287" s="955"/>
      <c r="AF287" s="955"/>
      <c r="AG287" s="955"/>
      <c r="AH287" s="955"/>
      <c r="AI287" s="955"/>
      <c r="AJ287" s="955"/>
      <c r="AK287" s="955"/>
      <c r="AL287" s="955"/>
      <c r="AM287" s="955"/>
      <c r="AN287" s="955"/>
      <c r="AO287" s="955"/>
      <c r="AP287" s="955"/>
      <c r="AQ287" s="955"/>
      <c r="AR287" s="955"/>
      <c r="AS287" s="955"/>
    </row>
    <row r="288" spans="2:45" s="1514" customFormat="1" x14ac:dyDescent="0.2">
      <c r="B288" s="1640"/>
      <c r="C288" s="1517"/>
      <c r="D288" s="1516"/>
      <c r="E288" s="1521"/>
      <c r="F288" s="1510"/>
      <c r="G288" s="1510"/>
      <c r="H288" s="1510"/>
      <c r="I288" s="1512"/>
      <c r="J288" s="1512"/>
      <c r="K288" s="1635" t="str">
        <f t="shared" si="24"/>
        <v/>
      </c>
      <c r="L288" s="1633"/>
      <c r="M288" s="1512"/>
      <c r="N288" s="1513" t="str">
        <f t="shared" si="25"/>
        <v/>
      </c>
      <c r="O288" s="1682" t="str">
        <f t="shared" si="26"/>
        <v/>
      </c>
      <c r="P288" s="1512"/>
      <c r="Q288" s="1513" t="str">
        <f t="shared" si="27"/>
        <v/>
      </c>
      <c r="R288" s="1683" t="str">
        <f t="shared" si="28"/>
        <v/>
      </c>
      <c r="S288" s="1512"/>
      <c r="T288" s="1513" t="str">
        <f t="shared" si="29"/>
        <v/>
      </c>
      <c r="U288" s="1512"/>
      <c r="V288" s="1512"/>
      <c r="W288" s="1638"/>
    </row>
    <row r="289" spans="1:45" s="1514" customFormat="1" x14ac:dyDescent="0.2">
      <c r="B289" s="1640"/>
      <c r="C289" s="1517"/>
      <c r="D289" s="1516"/>
      <c r="E289" s="1521"/>
      <c r="F289" s="1510"/>
      <c r="G289" s="1510"/>
      <c r="H289" s="1510"/>
      <c r="I289" s="1512"/>
      <c r="J289" s="1512"/>
      <c r="K289" s="1635" t="str">
        <f t="shared" si="24"/>
        <v/>
      </c>
      <c r="L289" s="1633"/>
      <c r="M289" s="1512"/>
      <c r="N289" s="1513" t="str">
        <f t="shared" si="25"/>
        <v/>
      </c>
      <c r="O289" s="1682" t="str">
        <f t="shared" si="26"/>
        <v/>
      </c>
      <c r="P289" s="1512"/>
      <c r="Q289" s="1513" t="str">
        <f t="shared" si="27"/>
        <v/>
      </c>
      <c r="R289" s="1683" t="str">
        <f t="shared" si="28"/>
        <v/>
      </c>
      <c r="S289" s="1512"/>
      <c r="T289" s="1513" t="str">
        <f t="shared" si="29"/>
        <v/>
      </c>
      <c r="U289" s="1512"/>
      <c r="V289" s="1512"/>
      <c r="W289" s="1638"/>
    </row>
    <row r="290" spans="1:45" s="1514" customFormat="1" x14ac:dyDescent="0.2">
      <c r="B290" s="1640"/>
      <c r="C290" s="1517"/>
      <c r="D290" s="1516"/>
      <c r="E290" s="1521"/>
      <c r="F290" s="1510"/>
      <c r="G290" s="1510"/>
      <c r="H290" s="1510"/>
      <c r="I290" s="1512"/>
      <c r="J290" s="1512"/>
      <c r="K290" s="1635" t="str">
        <f t="shared" si="24"/>
        <v/>
      </c>
      <c r="L290" s="1633"/>
      <c r="M290" s="1512"/>
      <c r="N290" s="1513" t="str">
        <f t="shared" si="25"/>
        <v/>
      </c>
      <c r="O290" s="1682" t="str">
        <f t="shared" si="26"/>
        <v/>
      </c>
      <c r="P290" s="1512"/>
      <c r="Q290" s="1513" t="str">
        <f t="shared" si="27"/>
        <v/>
      </c>
      <c r="R290" s="1683" t="str">
        <f t="shared" si="28"/>
        <v/>
      </c>
      <c r="S290" s="1512"/>
      <c r="T290" s="1513" t="str">
        <f t="shared" si="29"/>
        <v/>
      </c>
      <c r="U290" s="1512"/>
      <c r="V290" s="1512"/>
      <c r="W290" s="1638"/>
    </row>
    <row r="291" spans="1:45" s="1514" customFormat="1" x14ac:dyDescent="0.2">
      <c r="B291" s="1640"/>
      <c r="C291" s="1517"/>
      <c r="D291" s="1516"/>
      <c r="E291" s="1521"/>
      <c r="F291" s="1510"/>
      <c r="G291" s="1510"/>
      <c r="H291" s="1510"/>
      <c r="I291" s="1512"/>
      <c r="J291" s="1512"/>
      <c r="K291" s="1635" t="str">
        <f t="shared" si="24"/>
        <v/>
      </c>
      <c r="L291" s="1633"/>
      <c r="M291" s="1512"/>
      <c r="N291" s="1513" t="str">
        <f t="shared" si="25"/>
        <v/>
      </c>
      <c r="O291" s="1682" t="str">
        <f t="shared" si="26"/>
        <v/>
      </c>
      <c r="P291" s="1512"/>
      <c r="Q291" s="1513" t="str">
        <f t="shared" si="27"/>
        <v/>
      </c>
      <c r="R291" s="1683" t="str">
        <f t="shared" si="28"/>
        <v/>
      </c>
      <c r="S291" s="1512"/>
      <c r="T291" s="1513" t="str">
        <f t="shared" si="29"/>
        <v/>
      </c>
      <c r="U291" s="1512"/>
      <c r="V291" s="1512"/>
      <c r="W291" s="1638"/>
    </row>
    <row r="292" spans="1:45" s="1514" customFormat="1" x14ac:dyDescent="0.2">
      <c r="B292" s="1640"/>
      <c r="C292" s="1517"/>
      <c r="D292" s="1516"/>
      <c r="E292" s="1521"/>
      <c r="F292" s="1510"/>
      <c r="G292" s="1510"/>
      <c r="H292" s="1510"/>
      <c r="I292" s="1512"/>
      <c r="J292" s="1512"/>
      <c r="K292" s="1635" t="str">
        <f t="shared" si="24"/>
        <v/>
      </c>
      <c r="L292" s="1633"/>
      <c r="M292" s="1512"/>
      <c r="N292" s="1513" t="str">
        <f t="shared" si="25"/>
        <v/>
      </c>
      <c r="O292" s="1682" t="str">
        <f t="shared" si="26"/>
        <v/>
      </c>
      <c r="P292" s="1512"/>
      <c r="Q292" s="1513" t="str">
        <f t="shared" si="27"/>
        <v/>
      </c>
      <c r="R292" s="1683" t="str">
        <f t="shared" si="28"/>
        <v/>
      </c>
      <c r="S292" s="1512"/>
      <c r="T292" s="1513" t="str">
        <f t="shared" si="29"/>
        <v/>
      </c>
      <c r="U292" s="1512"/>
      <c r="V292" s="1512"/>
      <c r="W292" s="1638"/>
    </row>
    <row r="293" spans="1:45" s="1514" customFormat="1" x14ac:dyDescent="0.2">
      <c r="B293" s="1640"/>
      <c r="C293" s="1517"/>
      <c r="D293" s="1516"/>
      <c r="E293" s="1521"/>
      <c r="F293" s="1510"/>
      <c r="G293" s="1510"/>
      <c r="H293" s="1510"/>
      <c r="I293" s="1512"/>
      <c r="J293" s="1512"/>
      <c r="K293" s="1635" t="str">
        <f t="shared" si="24"/>
        <v/>
      </c>
      <c r="L293" s="1633"/>
      <c r="M293" s="1512"/>
      <c r="N293" s="1513" t="str">
        <f t="shared" si="25"/>
        <v/>
      </c>
      <c r="O293" s="1682" t="str">
        <f t="shared" si="26"/>
        <v/>
      </c>
      <c r="P293" s="1512"/>
      <c r="Q293" s="1513" t="str">
        <f t="shared" si="27"/>
        <v/>
      </c>
      <c r="R293" s="1683" t="str">
        <f t="shared" si="28"/>
        <v/>
      </c>
      <c r="S293" s="1512"/>
      <c r="T293" s="1513" t="str">
        <f t="shared" si="29"/>
        <v/>
      </c>
      <c r="U293" s="1512"/>
      <c r="V293" s="1512"/>
      <c r="W293" s="1638"/>
    </row>
    <row r="294" spans="1:45" s="1514" customFormat="1" x14ac:dyDescent="0.2">
      <c r="B294" s="1640"/>
      <c r="C294" s="1517"/>
      <c r="D294" s="1516"/>
      <c r="E294" s="1521"/>
      <c r="F294" s="1510"/>
      <c r="G294" s="1510"/>
      <c r="H294" s="1510"/>
      <c r="I294" s="1512"/>
      <c r="J294" s="1512"/>
      <c r="K294" s="1635" t="str">
        <f t="shared" si="24"/>
        <v/>
      </c>
      <c r="L294" s="1633"/>
      <c r="M294" s="1512"/>
      <c r="N294" s="1513" t="str">
        <f t="shared" si="25"/>
        <v/>
      </c>
      <c r="O294" s="1682" t="str">
        <f t="shared" si="26"/>
        <v/>
      </c>
      <c r="P294" s="1512"/>
      <c r="Q294" s="1513" t="str">
        <f t="shared" si="27"/>
        <v/>
      </c>
      <c r="R294" s="1683" t="str">
        <f t="shared" si="28"/>
        <v/>
      </c>
      <c r="S294" s="1512"/>
      <c r="T294" s="1513" t="str">
        <f t="shared" si="29"/>
        <v/>
      </c>
      <c r="U294" s="1512"/>
      <c r="V294" s="1512"/>
      <c r="W294" s="1638"/>
    </row>
    <row r="295" spans="1:45" s="1514" customFormat="1" x14ac:dyDescent="0.2">
      <c r="B295" s="1640"/>
      <c r="C295" s="1517"/>
      <c r="D295" s="1516"/>
      <c r="E295" s="1521"/>
      <c r="F295" s="1510"/>
      <c r="G295" s="1510"/>
      <c r="H295" s="1510"/>
      <c r="I295" s="1512"/>
      <c r="J295" s="1512"/>
      <c r="K295" s="1635" t="str">
        <f t="shared" si="24"/>
        <v/>
      </c>
      <c r="L295" s="1633"/>
      <c r="M295" s="1512"/>
      <c r="N295" s="1513" t="str">
        <f t="shared" si="25"/>
        <v/>
      </c>
      <c r="O295" s="1682" t="str">
        <f t="shared" si="26"/>
        <v/>
      </c>
      <c r="P295" s="1512"/>
      <c r="Q295" s="1513" t="str">
        <f t="shared" si="27"/>
        <v/>
      </c>
      <c r="R295" s="1683" t="str">
        <f t="shared" si="28"/>
        <v/>
      </c>
      <c r="S295" s="1512"/>
      <c r="T295" s="1513" t="str">
        <f t="shared" si="29"/>
        <v/>
      </c>
      <c r="U295" s="1512"/>
      <c r="V295" s="1512"/>
      <c r="W295" s="1638"/>
    </row>
    <row r="296" spans="1:45" s="1514" customFormat="1" x14ac:dyDescent="0.2">
      <c r="B296" s="1640"/>
      <c r="C296" s="1517"/>
      <c r="D296" s="1516"/>
      <c r="E296" s="1521"/>
      <c r="F296" s="1510"/>
      <c r="G296" s="1510"/>
      <c r="H296" s="1510"/>
      <c r="I296" s="1512"/>
      <c r="J296" s="1512"/>
      <c r="K296" s="1635" t="str">
        <f t="shared" si="24"/>
        <v/>
      </c>
      <c r="L296" s="1633"/>
      <c r="M296" s="1512"/>
      <c r="N296" s="1513" t="str">
        <f t="shared" si="25"/>
        <v/>
      </c>
      <c r="O296" s="1682" t="str">
        <f t="shared" si="26"/>
        <v/>
      </c>
      <c r="P296" s="1512"/>
      <c r="Q296" s="1513" t="str">
        <f t="shared" si="27"/>
        <v/>
      </c>
      <c r="R296" s="1683" t="str">
        <f t="shared" si="28"/>
        <v/>
      </c>
      <c r="S296" s="1512"/>
      <c r="T296" s="1513" t="str">
        <f t="shared" si="29"/>
        <v/>
      </c>
      <c r="U296" s="1512"/>
      <c r="V296" s="1512"/>
      <c r="W296" s="1638"/>
    </row>
    <row r="297" spans="1:45" s="1514" customFormat="1" x14ac:dyDescent="0.2">
      <c r="B297" s="1640"/>
      <c r="C297" s="1517"/>
      <c r="D297" s="1516"/>
      <c r="E297" s="1521"/>
      <c r="F297" s="1510"/>
      <c r="G297" s="1510"/>
      <c r="H297" s="1510"/>
      <c r="I297" s="1512"/>
      <c r="J297" s="1512"/>
      <c r="K297" s="1635" t="str">
        <f t="shared" si="24"/>
        <v/>
      </c>
      <c r="L297" s="1633"/>
      <c r="M297" s="1512"/>
      <c r="N297" s="1513" t="str">
        <f t="shared" si="25"/>
        <v/>
      </c>
      <c r="O297" s="1682" t="str">
        <f t="shared" si="26"/>
        <v/>
      </c>
      <c r="P297" s="1512"/>
      <c r="Q297" s="1513" t="str">
        <f t="shared" si="27"/>
        <v/>
      </c>
      <c r="R297" s="1683" t="str">
        <f t="shared" si="28"/>
        <v/>
      </c>
      <c r="S297" s="1512"/>
      <c r="T297" s="1513" t="str">
        <f t="shared" si="29"/>
        <v/>
      </c>
      <c r="U297" s="1512"/>
      <c r="V297" s="1512"/>
      <c r="W297" s="1638"/>
    </row>
    <row r="298" spans="1:45" s="1514" customFormat="1" x14ac:dyDescent="0.2">
      <c r="B298" s="1640"/>
      <c r="C298" s="1517"/>
      <c r="D298" s="1516"/>
      <c r="E298" s="1521"/>
      <c r="F298" s="1510"/>
      <c r="G298" s="1510"/>
      <c r="H298" s="1510"/>
      <c r="I298" s="1512"/>
      <c r="J298" s="1512"/>
      <c r="K298" s="1635" t="str">
        <f t="shared" si="24"/>
        <v/>
      </c>
      <c r="L298" s="1633"/>
      <c r="M298" s="1512"/>
      <c r="N298" s="1513" t="str">
        <f t="shared" si="25"/>
        <v/>
      </c>
      <c r="O298" s="1682" t="str">
        <f t="shared" si="26"/>
        <v/>
      </c>
      <c r="P298" s="1512"/>
      <c r="Q298" s="1513" t="str">
        <f t="shared" si="27"/>
        <v/>
      </c>
      <c r="R298" s="1683" t="str">
        <f t="shared" si="28"/>
        <v/>
      </c>
      <c r="S298" s="1512"/>
      <c r="T298" s="1513" t="str">
        <f t="shared" si="29"/>
        <v/>
      </c>
      <c r="U298" s="1512"/>
      <c r="V298" s="1512"/>
      <c r="W298" s="1638"/>
    </row>
    <row r="299" spans="1:45" s="1514" customFormat="1" x14ac:dyDescent="0.2">
      <c r="B299" s="1640"/>
      <c r="C299" s="1517"/>
      <c r="D299" s="1516"/>
      <c r="E299" s="1522"/>
      <c r="F299" s="1510"/>
      <c r="G299" s="1510"/>
      <c r="H299" s="1510"/>
      <c r="I299" s="1512"/>
      <c r="J299" s="1512"/>
      <c r="K299" s="1635" t="str">
        <f t="shared" si="24"/>
        <v/>
      </c>
      <c r="L299" s="1633"/>
      <c r="M299" s="1512"/>
      <c r="N299" s="1513" t="str">
        <f t="shared" si="25"/>
        <v/>
      </c>
      <c r="O299" s="1682" t="str">
        <f t="shared" si="26"/>
        <v/>
      </c>
      <c r="P299" s="1512"/>
      <c r="Q299" s="1513" t="str">
        <f t="shared" si="27"/>
        <v/>
      </c>
      <c r="R299" s="1683" t="str">
        <f t="shared" si="28"/>
        <v/>
      </c>
      <c r="S299" s="1512"/>
      <c r="T299" s="1513" t="str">
        <f t="shared" si="29"/>
        <v/>
      </c>
      <c r="U299" s="1512"/>
      <c r="V299" s="1512"/>
      <c r="W299" s="1638"/>
    </row>
    <row r="300" spans="1:45" s="1514" customFormat="1" x14ac:dyDescent="0.2">
      <c r="B300" s="1640"/>
      <c r="C300" s="1517"/>
      <c r="D300" s="1516"/>
      <c r="E300" s="1521"/>
      <c r="F300" s="1510"/>
      <c r="G300" s="1510"/>
      <c r="H300" s="1510"/>
      <c r="I300" s="1512"/>
      <c r="J300" s="1512"/>
      <c r="K300" s="1635" t="str">
        <f t="shared" si="24"/>
        <v/>
      </c>
      <c r="L300" s="1633"/>
      <c r="M300" s="1512"/>
      <c r="N300" s="1513" t="str">
        <f t="shared" si="25"/>
        <v/>
      </c>
      <c r="O300" s="1682" t="str">
        <f t="shared" si="26"/>
        <v/>
      </c>
      <c r="P300" s="1512"/>
      <c r="Q300" s="1513" t="str">
        <f t="shared" si="27"/>
        <v/>
      </c>
      <c r="R300" s="1683" t="str">
        <f t="shared" si="28"/>
        <v/>
      </c>
      <c r="S300" s="1512"/>
      <c r="T300" s="1513" t="str">
        <f t="shared" si="29"/>
        <v/>
      </c>
      <c r="U300" s="1512"/>
      <c r="V300" s="1512"/>
      <c r="W300" s="1638"/>
    </row>
    <row r="301" spans="1:45" s="1514" customFormat="1" x14ac:dyDescent="0.2">
      <c r="B301" s="1640"/>
      <c r="C301" s="1517"/>
      <c r="D301" s="1516"/>
      <c r="E301" s="1521"/>
      <c r="F301" s="1510"/>
      <c r="G301" s="1510"/>
      <c r="H301" s="1510"/>
      <c r="I301" s="1512"/>
      <c r="J301" s="1512"/>
      <c r="K301" s="1635" t="str">
        <f t="shared" si="24"/>
        <v/>
      </c>
      <c r="L301" s="1633"/>
      <c r="M301" s="1512"/>
      <c r="N301" s="1513" t="str">
        <f t="shared" si="25"/>
        <v/>
      </c>
      <c r="O301" s="1682" t="str">
        <f t="shared" si="26"/>
        <v/>
      </c>
      <c r="P301" s="1512"/>
      <c r="Q301" s="1513" t="str">
        <f t="shared" si="27"/>
        <v/>
      </c>
      <c r="R301" s="1683" t="str">
        <f t="shared" si="28"/>
        <v/>
      </c>
      <c r="S301" s="1512"/>
      <c r="T301" s="1513" t="str">
        <f t="shared" si="29"/>
        <v/>
      </c>
      <c r="U301" s="1512"/>
      <c r="V301" s="1512"/>
      <c r="W301" s="1638"/>
    </row>
    <row r="302" spans="1:45" s="51" customFormat="1" x14ac:dyDescent="0.2">
      <c r="A302" s="1514"/>
      <c r="B302" s="1640"/>
      <c r="C302" s="1517"/>
      <c r="D302" s="1516"/>
      <c r="E302" s="1521"/>
      <c r="F302" s="1510"/>
      <c r="G302" s="1510"/>
      <c r="H302" s="1510"/>
      <c r="I302" s="1512"/>
      <c r="J302" s="1512"/>
      <c r="K302" s="1635" t="str">
        <f t="shared" si="24"/>
        <v/>
      </c>
      <c r="L302" s="1633"/>
      <c r="M302" s="1512"/>
      <c r="N302" s="1513" t="str">
        <f t="shared" si="25"/>
        <v/>
      </c>
      <c r="O302" s="1682" t="str">
        <f t="shared" si="26"/>
        <v/>
      </c>
      <c r="P302" s="1512"/>
      <c r="Q302" s="1513" t="str">
        <f t="shared" si="27"/>
        <v/>
      </c>
      <c r="R302" s="1683" t="str">
        <f t="shared" si="28"/>
        <v/>
      </c>
      <c r="S302" s="1512"/>
      <c r="T302" s="1513" t="str">
        <f t="shared" si="29"/>
        <v/>
      </c>
      <c r="U302" s="1512"/>
      <c r="V302" s="1512"/>
      <c r="W302" s="1638"/>
      <c r="X302" s="1514"/>
      <c r="Y302" s="1514"/>
      <c r="Z302" s="1514"/>
      <c r="AA302" s="1514"/>
      <c r="AB302" s="1514"/>
      <c r="AC302" s="1514"/>
      <c r="AD302" s="1514"/>
      <c r="AE302" s="1514"/>
      <c r="AF302" s="1514"/>
      <c r="AG302" s="1514"/>
      <c r="AH302" s="1514"/>
      <c r="AI302" s="1514"/>
      <c r="AJ302" s="1514"/>
      <c r="AK302" s="1514"/>
      <c r="AL302" s="1514"/>
      <c r="AM302" s="1514"/>
      <c r="AN302" s="1514"/>
      <c r="AO302" s="1514"/>
      <c r="AP302" s="1514"/>
      <c r="AQ302" s="1514"/>
      <c r="AR302" s="1514"/>
      <c r="AS302" s="1514"/>
    </row>
    <row r="303" spans="1:45" s="51" customFormat="1" x14ac:dyDescent="0.2">
      <c r="A303" s="1514"/>
      <c r="B303" s="1640"/>
      <c r="C303" s="1517"/>
      <c r="D303" s="1516"/>
      <c r="E303" s="1521"/>
      <c r="F303" s="1510"/>
      <c r="G303" s="1510"/>
      <c r="H303" s="1510"/>
      <c r="I303" s="1512"/>
      <c r="J303" s="1512"/>
      <c r="K303" s="1635" t="str">
        <f t="shared" si="24"/>
        <v/>
      </c>
      <c r="L303" s="1633"/>
      <c r="M303" s="1512"/>
      <c r="N303" s="1513" t="str">
        <f t="shared" si="25"/>
        <v/>
      </c>
      <c r="O303" s="1682" t="str">
        <f t="shared" si="26"/>
        <v/>
      </c>
      <c r="P303" s="1512"/>
      <c r="Q303" s="1513" t="str">
        <f t="shared" si="27"/>
        <v/>
      </c>
      <c r="R303" s="1683" t="str">
        <f t="shared" si="28"/>
        <v/>
      </c>
      <c r="S303" s="1512"/>
      <c r="T303" s="1513" t="str">
        <f t="shared" si="29"/>
        <v/>
      </c>
      <c r="U303" s="1512"/>
      <c r="V303" s="1512"/>
      <c r="W303" s="1638"/>
      <c r="X303" s="1514"/>
      <c r="Y303" s="1514"/>
      <c r="Z303" s="1514"/>
      <c r="AA303" s="1514"/>
      <c r="AB303" s="1514"/>
      <c r="AC303" s="1514"/>
      <c r="AD303" s="1514"/>
      <c r="AE303" s="1514"/>
      <c r="AF303" s="1514"/>
      <c r="AG303" s="1514"/>
      <c r="AH303" s="1514"/>
      <c r="AI303" s="1514"/>
      <c r="AJ303" s="1514"/>
      <c r="AK303" s="1514"/>
      <c r="AL303" s="1514"/>
      <c r="AM303" s="1514"/>
      <c r="AN303" s="1514"/>
      <c r="AO303" s="1514"/>
      <c r="AP303" s="1514"/>
      <c r="AQ303" s="1514"/>
      <c r="AR303" s="1514"/>
      <c r="AS303" s="1514"/>
    </row>
    <row r="304" spans="1:45" s="51" customFormat="1" x14ac:dyDescent="0.2">
      <c r="A304" s="1514"/>
      <c r="B304" s="1640"/>
      <c r="C304" s="1517"/>
      <c r="D304" s="1516"/>
      <c r="E304" s="1521"/>
      <c r="F304" s="1510"/>
      <c r="G304" s="1510"/>
      <c r="H304" s="1510"/>
      <c r="I304" s="1512"/>
      <c r="J304" s="1512"/>
      <c r="K304" s="1635" t="str">
        <f t="shared" si="24"/>
        <v/>
      </c>
      <c r="L304" s="1633"/>
      <c r="M304" s="1512"/>
      <c r="N304" s="1513" t="str">
        <f t="shared" si="25"/>
        <v/>
      </c>
      <c r="O304" s="1682" t="str">
        <f t="shared" si="26"/>
        <v/>
      </c>
      <c r="P304" s="1512"/>
      <c r="Q304" s="1513" t="str">
        <f t="shared" si="27"/>
        <v/>
      </c>
      <c r="R304" s="1683" t="str">
        <f t="shared" si="28"/>
        <v/>
      </c>
      <c r="S304" s="1512"/>
      <c r="T304" s="1513" t="str">
        <f t="shared" si="29"/>
        <v/>
      </c>
      <c r="U304" s="1512"/>
      <c r="V304" s="1512"/>
      <c r="W304" s="1638"/>
      <c r="X304" s="1514"/>
      <c r="Y304" s="1514"/>
      <c r="Z304" s="1514"/>
      <c r="AA304" s="1514"/>
      <c r="AB304" s="1514"/>
      <c r="AC304" s="1514"/>
      <c r="AD304" s="1514"/>
      <c r="AE304" s="1514"/>
      <c r="AF304" s="1514"/>
      <c r="AG304" s="1514"/>
      <c r="AH304" s="1514"/>
      <c r="AI304" s="1514"/>
      <c r="AJ304" s="1514"/>
      <c r="AK304" s="1514"/>
      <c r="AL304" s="1514"/>
      <c r="AM304" s="1514"/>
      <c r="AN304" s="1514"/>
      <c r="AO304" s="1514"/>
      <c r="AP304" s="1514"/>
      <c r="AQ304" s="1514"/>
      <c r="AR304" s="1514"/>
      <c r="AS304" s="1514"/>
    </row>
    <row r="305" spans="1:45" s="51" customFormat="1" x14ac:dyDescent="0.2">
      <c r="A305" s="1514"/>
      <c r="B305" s="1640"/>
      <c r="C305" s="1517"/>
      <c r="D305" s="1516"/>
      <c r="E305" s="1521"/>
      <c r="F305" s="1510"/>
      <c r="G305" s="1510"/>
      <c r="H305" s="1510"/>
      <c r="I305" s="1512"/>
      <c r="J305" s="1512"/>
      <c r="K305" s="1635" t="str">
        <f t="shared" si="24"/>
        <v/>
      </c>
      <c r="L305" s="1633"/>
      <c r="M305" s="1512"/>
      <c r="N305" s="1513" t="str">
        <f t="shared" si="25"/>
        <v/>
      </c>
      <c r="O305" s="1682" t="str">
        <f t="shared" si="26"/>
        <v/>
      </c>
      <c r="P305" s="1512"/>
      <c r="Q305" s="1513" t="str">
        <f t="shared" si="27"/>
        <v/>
      </c>
      <c r="R305" s="1683" t="str">
        <f t="shared" si="28"/>
        <v/>
      </c>
      <c r="S305" s="1512"/>
      <c r="T305" s="1513" t="str">
        <f t="shared" si="29"/>
        <v/>
      </c>
      <c r="U305" s="1512"/>
      <c r="V305" s="1512"/>
      <c r="W305" s="1638"/>
      <c r="X305" s="1514"/>
      <c r="Y305" s="1514"/>
      <c r="Z305" s="1514"/>
      <c r="AA305" s="1514"/>
      <c r="AB305" s="1514"/>
      <c r="AC305" s="1514"/>
      <c r="AD305" s="1514"/>
      <c r="AE305" s="1514"/>
      <c r="AF305" s="1514"/>
      <c r="AG305" s="1514"/>
      <c r="AH305" s="1514"/>
      <c r="AI305" s="1514"/>
      <c r="AJ305" s="1514"/>
      <c r="AK305" s="1514"/>
      <c r="AL305" s="1514"/>
      <c r="AM305" s="1514"/>
      <c r="AN305" s="1514"/>
      <c r="AO305" s="1514"/>
      <c r="AP305" s="1514"/>
      <c r="AQ305" s="1514"/>
      <c r="AR305" s="1514"/>
      <c r="AS305" s="1514"/>
    </row>
    <row r="306" spans="1:45" s="51" customFormat="1" x14ac:dyDescent="0.2">
      <c r="A306" s="1514"/>
      <c r="B306" s="1640"/>
      <c r="C306" s="1517"/>
      <c r="D306" s="1516"/>
      <c r="E306" s="1521"/>
      <c r="F306" s="1510"/>
      <c r="G306" s="1510"/>
      <c r="H306" s="1510"/>
      <c r="I306" s="1512"/>
      <c r="J306" s="1512"/>
      <c r="K306" s="1635" t="str">
        <f t="shared" si="24"/>
        <v/>
      </c>
      <c r="L306" s="1633"/>
      <c r="M306" s="1512"/>
      <c r="N306" s="1513" t="str">
        <f t="shared" si="25"/>
        <v/>
      </c>
      <c r="O306" s="1682" t="str">
        <f t="shared" si="26"/>
        <v/>
      </c>
      <c r="P306" s="1512"/>
      <c r="Q306" s="1513" t="str">
        <f t="shared" si="27"/>
        <v/>
      </c>
      <c r="R306" s="1683" t="str">
        <f t="shared" si="28"/>
        <v/>
      </c>
      <c r="S306" s="1512"/>
      <c r="T306" s="1513" t="str">
        <f t="shared" si="29"/>
        <v/>
      </c>
      <c r="U306" s="1512"/>
      <c r="V306" s="1512"/>
      <c r="W306" s="1638"/>
      <c r="X306" s="1514"/>
      <c r="Y306" s="1514"/>
      <c r="Z306" s="1514"/>
      <c r="AA306" s="1514"/>
      <c r="AB306" s="1514"/>
      <c r="AC306" s="1514"/>
      <c r="AD306" s="1514"/>
      <c r="AE306" s="1514"/>
      <c r="AF306" s="1514"/>
      <c r="AG306" s="1514"/>
      <c r="AH306" s="1514"/>
      <c r="AI306" s="1514"/>
      <c r="AJ306" s="1514"/>
      <c r="AK306" s="1514"/>
      <c r="AL306" s="1514"/>
      <c r="AM306" s="1514"/>
      <c r="AN306" s="1514"/>
      <c r="AO306" s="1514"/>
      <c r="AP306" s="1514"/>
      <c r="AQ306" s="1514"/>
      <c r="AR306" s="1514"/>
      <c r="AS306" s="1514"/>
    </row>
    <row r="307" spans="1:45" s="51" customFormat="1" x14ac:dyDescent="0.2">
      <c r="A307" s="1514"/>
      <c r="B307" s="1640"/>
      <c r="C307" s="1517"/>
      <c r="D307" s="1516"/>
      <c r="E307" s="1521"/>
      <c r="F307" s="1510"/>
      <c r="G307" s="1510"/>
      <c r="H307" s="1510"/>
      <c r="I307" s="1512"/>
      <c r="J307" s="1512"/>
      <c r="K307" s="1635" t="str">
        <f t="shared" si="24"/>
        <v/>
      </c>
      <c r="L307" s="1633"/>
      <c r="M307" s="1512"/>
      <c r="N307" s="1513" t="str">
        <f t="shared" si="25"/>
        <v/>
      </c>
      <c r="O307" s="1682" t="str">
        <f t="shared" si="26"/>
        <v/>
      </c>
      <c r="P307" s="1512"/>
      <c r="Q307" s="1513" t="str">
        <f t="shared" si="27"/>
        <v/>
      </c>
      <c r="R307" s="1683" t="str">
        <f t="shared" si="28"/>
        <v/>
      </c>
      <c r="S307" s="1512"/>
      <c r="T307" s="1513" t="str">
        <f t="shared" si="29"/>
        <v/>
      </c>
      <c r="U307" s="1512"/>
      <c r="V307" s="1512"/>
      <c r="W307" s="1638"/>
      <c r="X307" s="1514"/>
      <c r="Y307" s="1514"/>
      <c r="Z307" s="1514"/>
      <c r="AA307" s="1514"/>
      <c r="AB307" s="1514"/>
      <c r="AC307" s="1514"/>
      <c r="AD307" s="1514"/>
      <c r="AE307" s="1514"/>
      <c r="AF307" s="1514"/>
      <c r="AG307" s="1514"/>
      <c r="AH307" s="1514"/>
      <c r="AI307" s="1514"/>
      <c r="AJ307" s="1514"/>
      <c r="AK307" s="1514"/>
      <c r="AL307" s="1514"/>
      <c r="AM307" s="1514"/>
      <c r="AN307" s="1514"/>
      <c r="AO307" s="1514"/>
      <c r="AP307" s="1514"/>
      <c r="AQ307" s="1514"/>
      <c r="AR307" s="1514"/>
      <c r="AS307" s="1514"/>
    </row>
    <row r="308" spans="1:45" s="51" customFormat="1" x14ac:dyDescent="0.2">
      <c r="A308" s="1514"/>
      <c r="B308" s="1640"/>
      <c r="C308" s="1517"/>
      <c r="D308" s="1516"/>
      <c r="E308" s="1521"/>
      <c r="F308" s="1510"/>
      <c r="G308" s="1510"/>
      <c r="H308" s="1510"/>
      <c r="I308" s="1512"/>
      <c r="J308" s="1512"/>
      <c r="K308" s="1635" t="str">
        <f t="shared" si="24"/>
        <v/>
      </c>
      <c r="L308" s="1633"/>
      <c r="M308" s="1512"/>
      <c r="N308" s="1513" t="str">
        <f t="shared" si="25"/>
        <v/>
      </c>
      <c r="O308" s="1682" t="str">
        <f t="shared" si="26"/>
        <v/>
      </c>
      <c r="P308" s="1512"/>
      <c r="Q308" s="1513" t="str">
        <f t="shared" si="27"/>
        <v/>
      </c>
      <c r="R308" s="1683" t="str">
        <f t="shared" si="28"/>
        <v/>
      </c>
      <c r="S308" s="1512"/>
      <c r="T308" s="1513" t="str">
        <f t="shared" si="29"/>
        <v/>
      </c>
      <c r="U308" s="1512"/>
      <c r="V308" s="1512"/>
      <c r="W308" s="1638"/>
      <c r="X308" s="1514"/>
      <c r="Y308" s="1514"/>
      <c r="Z308" s="1514"/>
      <c r="AA308" s="1514"/>
      <c r="AB308" s="1514"/>
      <c r="AC308" s="1514"/>
      <c r="AD308" s="1514"/>
      <c r="AE308" s="1514"/>
      <c r="AF308" s="1514"/>
      <c r="AG308" s="1514"/>
      <c r="AH308" s="1514"/>
      <c r="AI308" s="1514"/>
      <c r="AJ308" s="1514"/>
      <c r="AK308" s="1514"/>
      <c r="AL308" s="1514"/>
      <c r="AM308" s="1514"/>
      <c r="AN308" s="1514"/>
      <c r="AO308" s="1514"/>
      <c r="AP308" s="1514"/>
      <c r="AQ308" s="1514"/>
      <c r="AR308" s="1514"/>
      <c r="AS308" s="1514"/>
    </row>
    <row r="309" spans="1:45" s="51" customFormat="1" x14ac:dyDescent="0.2">
      <c r="A309" s="1514"/>
      <c r="B309" s="1640"/>
      <c r="C309" s="1517"/>
      <c r="D309" s="1516"/>
      <c r="E309" s="1521"/>
      <c r="F309" s="1510"/>
      <c r="G309" s="1510"/>
      <c r="H309" s="1510"/>
      <c r="I309" s="1512"/>
      <c r="J309" s="1512"/>
      <c r="K309" s="1635" t="str">
        <f t="shared" si="24"/>
        <v/>
      </c>
      <c r="L309" s="1633"/>
      <c r="M309" s="1512"/>
      <c r="N309" s="1513" t="str">
        <f t="shared" si="25"/>
        <v/>
      </c>
      <c r="O309" s="1682" t="str">
        <f t="shared" si="26"/>
        <v/>
      </c>
      <c r="P309" s="1512"/>
      <c r="Q309" s="1513" t="str">
        <f t="shared" si="27"/>
        <v/>
      </c>
      <c r="R309" s="1683" t="str">
        <f t="shared" si="28"/>
        <v/>
      </c>
      <c r="S309" s="1512"/>
      <c r="T309" s="1513" t="str">
        <f t="shared" si="29"/>
        <v/>
      </c>
      <c r="U309" s="1512"/>
      <c r="V309" s="1512"/>
      <c r="W309" s="1638"/>
      <c r="X309" s="1514"/>
      <c r="Y309" s="1514"/>
      <c r="Z309" s="1514"/>
      <c r="AA309" s="1514"/>
      <c r="AB309" s="1514"/>
      <c r="AC309" s="1514"/>
      <c r="AD309" s="1514"/>
      <c r="AE309" s="1514"/>
      <c r="AF309" s="1514"/>
      <c r="AG309" s="1514"/>
      <c r="AH309" s="1514"/>
      <c r="AI309" s="1514"/>
      <c r="AJ309" s="1514"/>
      <c r="AK309" s="1514"/>
      <c r="AL309" s="1514"/>
      <c r="AM309" s="1514"/>
      <c r="AN309" s="1514"/>
      <c r="AO309" s="1514"/>
      <c r="AP309" s="1514"/>
      <c r="AQ309" s="1514"/>
      <c r="AR309" s="1514"/>
      <c r="AS309" s="1514"/>
    </row>
    <row r="310" spans="1:45" s="51" customFormat="1" x14ac:dyDescent="0.2">
      <c r="A310" s="1514"/>
      <c r="B310" s="1640"/>
      <c r="C310" s="1517"/>
      <c r="D310" s="1516"/>
      <c r="E310" s="1521"/>
      <c r="F310" s="1510"/>
      <c r="G310" s="1510"/>
      <c r="H310" s="1510"/>
      <c r="I310" s="1512"/>
      <c r="J310" s="1512"/>
      <c r="K310" s="1635" t="str">
        <f t="shared" si="24"/>
        <v/>
      </c>
      <c r="L310" s="1633"/>
      <c r="M310" s="1512"/>
      <c r="N310" s="1513" t="str">
        <f t="shared" si="25"/>
        <v/>
      </c>
      <c r="O310" s="1682" t="str">
        <f t="shared" si="26"/>
        <v/>
      </c>
      <c r="P310" s="1512"/>
      <c r="Q310" s="1513" t="str">
        <f t="shared" si="27"/>
        <v/>
      </c>
      <c r="R310" s="1683" t="str">
        <f t="shared" si="28"/>
        <v/>
      </c>
      <c r="S310" s="1512"/>
      <c r="T310" s="1513" t="str">
        <f t="shared" si="29"/>
        <v/>
      </c>
      <c r="U310" s="1512"/>
      <c r="V310" s="1512"/>
      <c r="W310" s="1638"/>
      <c r="X310" s="1514"/>
      <c r="Y310" s="1514"/>
      <c r="Z310" s="1514"/>
      <c r="AA310" s="1514"/>
      <c r="AB310" s="1514"/>
      <c r="AC310" s="1514"/>
      <c r="AD310" s="1514"/>
      <c r="AE310" s="1514"/>
      <c r="AF310" s="1514"/>
      <c r="AG310" s="1514"/>
      <c r="AH310" s="1514"/>
      <c r="AI310" s="1514"/>
      <c r="AJ310" s="1514"/>
      <c r="AK310" s="1514"/>
      <c r="AL310" s="1514"/>
      <c r="AM310" s="1514"/>
      <c r="AN310" s="1514"/>
      <c r="AO310" s="1514"/>
      <c r="AP310" s="1514"/>
      <c r="AQ310" s="1514"/>
      <c r="AR310" s="1514"/>
      <c r="AS310" s="1514"/>
    </row>
    <row r="311" spans="1:45" s="51" customFormat="1" x14ac:dyDescent="0.2">
      <c r="A311" s="1514"/>
      <c r="B311" s="1640"/>
      <c r="C311" s="1517"/>
      <c r="D311" s="1516"/>
      <c r="E311" s="1521"/>
      <c r="F311" s="1510"/>
      <c r="G311" s="1510"/>
      <c r="H311" s="1510"/>
      <c r="I311" s="1512"/>
      <c r="J311" s="1512"/>
      <c r="K311" s="1635" t="str">
        <f t="shared" si="24"/>
        <v/>
      </c>
      <c r="L311" s="1633"/>
      <c r="M311" s="1512"/>
      <c r="N311" s="1513" t="str">
        <f t="shared" si="25"/>
        <v/>
      </c>
      <c r="O311" s="1682" t="str">
        <f t="shared" si="26"/>
        <v/>
      </c>
      <c r="P311" s="1512"/>
      <c r="Q311" s="1513" t="str">
        <f t="shared" si="27"/>
        <v/>
      </c>
      <c r="R311" s="1683" t="str">
        <f t="shared" si="28"/>
        <v/>
      </c>
      <c r="S311" s="1512"/>
      <c r="T311" s="1513" t="str">
        <f t="shared" si="29"/>
        <v/>
      </c>
      <c r="U311" s="1512"/>
      <c r="V311" s="1512"/>
      <c r="W311" s="1638"/>
      <c r="X311" s="1514"/>
      <c r="Y311" s="1514"/>
      <c r="Z311" s="1514"/>
      <c r="AA311" s="1514"/>
      <c r="AB311" s="1514"/>
      <c r="AC311" s="1514"/>
      <c r="AD311" s="1514"/>
      <c r="AE311" s="1514"/>
      <c r="AF311" s="1514"/>
      <c r="AG311" s="1514"/>
      <c r="AH311" s="1514"/>
      <c r="AI311" s="1514"/>
      <c r="AJ311" s="1514"/>
      <c r="AK311" s="1514"/>
      <c r="AL311" s="1514"/>
      <c r="AM311" s="1514"/>
      <c r="AN311" s="1514"/>
      <c r="AO311" s="1514"/>
      <c r="AP311" s="1514"/>
      <c r="AQ311" s="1514"/>
      <c r="AR311" s="1514"/>
      <c r="AS311" s="1514"/>
    </row>
    <row r="312" spans="1:45" s="51" customFormat="1" x14ac:dyDescent="0.2">
      <c r="A312" s="1514"/>
      <c r="B312" s="1640"/>
      <c r="C312" s="1517"/>
      <c r="D312" s="1516"/>
      <c r="E312" s="1521"/>
      <c r="F312" s="1510"/>
      <c r="G312" s="1510"/>
      <c r="H312" s="1510"/>
      <c r="I312" s="1512"/>
      <c r="J312" s="1512"/>
      <c r="K312" s="1635" t="str">
        <f t="shared" si="24"/>
        <v/>
      </c>
      <c r="L312" s="1633"/>
      <c r="M312" s="1512"/>
      <c r="N312" s="1513" t="str">
        <f t="shared" si="25"/>
        <v/>
      </c>
      <c r="O312" s="1682" t="str">
        <f t="shared" si="26"/>
        <v/>
      </c>
      <c r="P312" s="1512"/>
      <c r="Q312" s="1513" t="str">
        <f t="shared" si="27"/>
        <v/>
      </c>
      <c r="R312" s="1683" t="str">
        <f t="shared" si="28"/>
        <v/>
      </c>
      <c r="S312" s="1512"/>
      <c r="T312" s="1513" t="str">
        <f t="shared" si="29"/>
        <v/>
      </c>
      <c r="U312" s="1512"/>
      <c r="V312" s="1512"/>
      <c r="W312" s="1638"/>
      <c r="X312" s="1514"/>
      <c r="Y312" s="1514"/>
      <c r="Z312" s="1514"/>
      <c r="AA312" s="1514"/>
      <c r="AB312" s="1514"/>
      <c r="AC312" s="1514"/>
      <c r="AD312" s="1514"/>
      <c r="AE312" s="1514"/>
      <c r="AF312" s="1514"/>
      <c r="AG312" s="1514"/>
      <c r="AH312" s="1514"/>
      <c r="AI312" s="1514"/>
      <c r="AJ312" s="1514"/>
      <c r="AK312" s="1514"/>
      <c r="AL312" s="1514"/>
      <c r="AM312" s="1514"/>
      <c r="AN312" s="1514"/>
      <c r="AO312" s="1514"/>
      <c r="AP312" s="1514"/>
      <c r="AQ312" s="1514"/>
      <c r="AR312" s="1514"/>
      <c r="AS312" s="1514"/>
    </row>
    <row r="313" spans="1:45" s="51" customFormat="1" x14ac:dyDescent="0.2">
      <c r="A313" s="1514"/>
      <c r="B313" s="1640"/>
      <c r="C313" s="1517"/>
      <c r="D313" s="1516"/>
      <c r="E313" s="1521"/>
      <c r="F313" s="1510"/>
      <c r="G313" s="1510"/>
      <c r="H313" s="1510"/>
      <c r="I313" s="1512"/>
      <c r="J313" s="1512"/>
      <c r="K313" s="1635" t="str">
        <f t="shared" si="24"/>
        <v/>
      </c>
      <c r="L313" s="1633"/>
      <c r="M313" s="1512"/>
      <c r="N313" s="1513" t="str">
        <f t="shared" si="25"/>
        <v/>
      </c>
      <c r="O313" s="1682" t="str">
        <f t="shared" si="26"/>
        <v/>
      </c>
      <c r="P313" s="1512"/>
      <c r="Q313" s="1513" t="str">
        <f t="shared" si="27"/>
        <v/>
      </c>
      <c r="R313" s="1683" t="str">
        <f t="shared" si="28"/>
        <v/>
      </c>
      <c r="S313" s="1512"/>
      <c r="T313" s="1513" t="str">
        <f t="shared" si="29"/>
        <v/>
      </c>
      <c r="U313" s="1512"/>
      <c r="V313" s="1512"/>
      <c r="W313" s="1638"/>
      <c r="X313" s="1514"/>
      <c r="Y313" s="1514"/>
      <c r="Z313" s="1514"/>
      <c r="AA313" s="1514"/>
      <c r="AB313" s="1514"/>
      <c r="AC313" s="1514"/>
      <c r="AD313" s="1514"/>
      <c r="AE313" s="1514"/>
      <c r="AF313" s="1514"/>
      <c r="AG313" s="1514"/>
      <c r="AH313" s="1514"/>
      <c r="AI313" s="1514"/>
      <c r="AJ313" s="1514"/>
      <c r="AK313" s="1514"/>
      <c r="AL313" s="1514"/>
      <c r="AM313" s="1514"/>
      <c r="AN313" s="1514"/>
      <c r="AO313" s="1514"/>
      <c r="AP313" s="1514"/>
      <c r="AQ313" s="1514"/>
      <c r="AR313" s="1514"/>
      <c r="AS313" s="1514"/>
    </row>
    <row r="314" spans="1:45" s="51" customFormat="1" x14ac:dyDescent="0.2">
      <c r="A314" s="1514"/>
      <c r="B314" s="1640"/>
      <c r="C314" s="1517"/>
      <c r="D314" s="1516"/>
      <c r="E314" s="1521"/>
      <c r="F314" s="1510"/>
      <c r="G314" s="1510"/>
      <c r="H314" s="1510"/>
      <c r="I314" s="1512"/>
      <c r="J314" s="1512"/>
      <c r="K314" s="1635" t="str">
        <f t="shared" si="24"/>
        <v/>
      </c>
      <c r="L314" s="1633"/>
      <c r="M314" s="1512"/>
      <c r="N314" s="1513" t="str">
        <f t="shared" si="25"/>
        <v/>
      </c>
      <c r="O314" s="1682" t="str">
        <f t="shared" si="26"/>
        <v/>
      </c>
      <c r="P314" s="1512"/>
      <c r="Q314" s="1513" t="str">
        <f t="shared" si="27"/>
        <v/>
      </c>
      <c r="R314" s="1683" t="str">
        <f t="shared" si="28"/>
        <v/>
      </c>
      <c r="S314" s="1512"/>
      <c r="T314" s="1513" t="str">
        <f t="shared" si="29"/>
        <v/>
      </c>
      <c r="U314" s="1512"/>
      <c r="V314" s="1512"/>
      <c r="W314" s="1638"/>
      <c r="X314" s="1514"/>
      <c r="Y314" s="1514"/>
      <c r="Z314" s="1514"/>
      <c r="AA314" s="1514"/>
      <c r="AB314" s="1514"/>
      <c r="AC314" s="1514"/>
      <c r="AD314" s="1514"/>
      <c r="AE314" s="1514"/>
      <c r="AF314" s="1514"/>
      <c r="AG314" s="1514"/>
      <c r="AH314" s="1514"/>
      <c r="AI314" s="1514"/>
      <c r="AJ314" s="1514"/>
      <c r="AK314" s="1514"/>
      <c r="AL314" s="1514"/>
      <c r="AM314" s="1514"/>
      <c r="AN314" s="1514"/>
      <c r="AO314" s="1514"/>
      <c r="AP314" s="1514"/>
      <c r="AQ314" s="1514"/>
      <c r="AR314" s="1514"/>
      <c r="AS314" s="1514"/>
    </row>
    <row r="315" spans="1:45" s="51" customFormat="1" x14ac:dyDescent="0.2">
      <c r="A315" s="1514"/>
      <c r="B315" s="1640"/>
      <c r="C315" s="1517"/>
      <c r="D315" s="1516"/>
      <c r="E315" s="1521"/>
      <c r="F315" s="1510"/>
      <c r="G315" s="1510"/>
      <c r="H315" s="1510"/>
      <c r="I315" s="1512"/>
      <c r="J315" s="1512"/>
      <c r="K315" s="1635" t="str">
        <f t="shared" si="24"/>
        <v/>
      </c>
      <c r="L315" s="1633"/>
      <c r="M315" s="1512"/>
      <c r="N315" s="1513" t="str">
        <f t="shared" si="25"/>
        <v/>
      </c>
      <c r="O315" s="1682" t="str">
        <f t="shared" si="26"/>
        <v/>
      </c>
      <c r="P315" s="1512"/>
      <c r="Q315" s="1513" t="str">
        <f t="shared" si="27"/>
        <v/>
      </c>
      <c r="R315" s="1683" t="str">
        <f t="shared" si="28"/>
        <v/>
      </c>
      <c r="S315" s="1512"/>
      <c r="T315" s="1513" t="str">
        <f t="shared" si="29"/>
        <v/>
      </c>
      <c r="U315" s="1512"/>
      <c r="V315" s="1512"/>
      <c r="W315" s="1638"/>
      <c r="X315" s="1514"/>
      <c r="Y315" s="1514"/>
      <c r="Z315" s="1514"/>
      <c r="AA315" s="1514"/>
      <c r="AB315" s="1514"/>
      <c r="AC315" s="1514"/>
      <c r="AD315" s="1514"/>
      <c r="AE315" s="1514"/>
      <c r="AF315" s="1514"/>
      <c r="AG315" s="1514"/>
      <c r="AH315" s="1514"/>
      <c r="AI315" s="1514"/>
      <c r="AJ315" s="1514"/>
      <c r="AK315" s="1514"/>
      <c r="AL315" s="1514"/>
      <c r="AM315" s="1514"/>
      <c r="AN315" s="1514"/>
      <c r="AO315" s="1514"/>
      <c r="AP315" s="1514"/>
      <c r="AQ315" s="1514"/>
      <c r="AR315" s="1514"/>
      <c r="AS315" s="1514"/>
    </row>
    <row r="316" spans="1:45" s="51" customFormat="1" x14ac:dyDescent="0.2">
      <c r="A316" s="1514"/>
      <c r="B316" s="1640"/>
      <c r="C316" s="1517"/>
      <c r="D316" s="1516"/>
      <c r="E316" s="1521"/>
      <c r="F316" s="1510"/>
      <c r="G316" s="1510"/>
      <c r="H316" s="1510"/>
      <c r="I316" s="1512"/>
      <c r="J316" s="1512"/>
      <c r="K316" s="1635" t="str">
        <f t="shared" si="24"/>
        <v/>
      </c>
      <c r="L316" s="1633"/>
      <c r="M316" s="1512"/>
      <c r="N316" s="1513" t="str">
        <f t="shared" si="25"/>
        <v/>
      </c>
      <c r="O316" s="1682" t="str">
        <f t="shared" si="26"/>
        <v/>
      </c>
      <c r="P316" s="1512"/>
      <c r="Q316" s="1513" t="str">
        <f t="shared" si="27"/>
        <v/>
      </c>
      <c r="R316" s="1683" t="str">
        <f t="shared" si="28"/>
        <v/>
      </c>
      <c r="S316" s="1512"/>
      <c r="T316" s="1513" t="str">
        <f t="shared" si="29"/>
        <v/>
      </c>
      <c r="U316" s="1512"/>
      <c r="V316" s="1512"/>
      <c r="W316" s="1638"/>
      <c r="X316" s="1514"/>
      <c r="Y316" s="1514"/>
      <c r="Z316" s="1514"/>
      <c r="AA316" s="1514"/>
      <c r="AB316" s="1514"/>
      <c r="AC316" s="1514"/>
      <c r="AD316" s="1514"/>
      <c r="AE316" s="1514"/>
      <c r="AF316" s="1514"/>
      <c r="AG316" s="1514"/>
      <c r="AH316" s="1514"/>
      <c r="AI316" s="1514"/>
      <c r="AJ316" s="1514"/>
      <c r="AK316" s="1514"/>
      <c r="AL316" s="1514"/>
      <c r="AM316" s="1514"/>
      <c r="AN316" s="1514"/>
      <c r="AO316" s="1514"/>
      <c r="AP316" s="1514"/>
      <c r="AQ316" s="1514"/>
      <c r="AR316" s="1514"/>
      <c r="AS316" s="1514"/>
    </row>
    <row r="317" spans="1:45" s="51" customFormat="1" x14ac:dyDescent="0.2">
      <c r="A317" s="1514"/>
      <c r="B317" s="1640"/>
      <c r="C317" s="1517"/>
      <c r="D317" s="1516"/>
      <c r="E317" s="1521"/>
      <c r="F317" s="1510"/>
      <c r="G317" s="1510"/>
      <c r="H317" s="1510"/>
      <c r="I317" s="1512"/>
      <c r="J317" s="1512"/>
      <c r="K317" s="1635" t="str">
        <f t="shared" si="24"/>
        <v/>
      </c>
      <c r="L317" s="1633"/>
      <c r="M317" s="1512"/>
      <c r="N317" s="1513" t="str">
        <f t="shared" si="25"/>
        <v/>
      </c>
      <c r="O317" s="1682" t="str">
        <f t="shared" si="26"/>
        <v/>
      </c>
      <c r="P317" s="1512"/>
      <c r="Q317" s="1513" t="str">
        <f t="shared" si="27"/>
        <v/>
      </c>
      <c r="R317" s="1683" t="str">
        <f t="shared" si="28"/>
        <v/>
      </c>
      <c r="S317" s="1512"/>
      <c r="T317" s="1513" t="str">
        <f t="shared" si="29"/>
        <v/>
      </c>
      <c r="U317" s="1512"/>
      <c r="V317" s="1512"/>
      <c r="W317" s="1638"/>
      <c r="X317" s="1514"/>
      <c r="Y317" s="1514"/>
      <c r="Z317" s="1514"/>
      <c r="AA317" s="1514"/>
      <c r="AB317" s="1514"/>
      <c r="AC317" s="1514"/>
      <c r="AD317" s="1514"/>
      <c r="AE317" s="1514"/>
      <c r="AF317" s="1514"/>
      <c r="AG317" s="1514"/>
      <c r="AH317" s="1514"/>
      <c r="AI317" s="1514"/>
      <c r="AJ317" s="1514"/>
      <c r="AK317" s="1514"/>
      <c r="AL317" s="1514"/>
      <c r="AM317" s="1514"/>
      <c r="AN317" s="1514"/>
      <c r="AO317" s="1514"/>
      <c r="AP317" s="1514"/>
      <c r="AQ317" s="1514"/>
      <c r="AR317" s="1514"/>
      <c r="AS317" s="1514"/>
    </row>
    <row r="318" spans="1:45" s="51" customFormat="1" x14ac:dyDescent="0.2">
      <c r="A318" s="1514"/>
      <c r="B318" s="1640"/>
      <c r="C318" s="1517"/>
      <c r="D318" s="1516"/>
      <c r="E318" s="1521"/>
      <c r="F318" s="1510"/>
      <c r="G318" s="1510"/>
      <c r="H318" s="1510"/>
      <c r="I318" s="1512"/>
      <c r="J318" s="1512"/>
      <c r="K318" s="1635" t="str">
        <f t="shared" si="24"/>
        <v/>
      </c>
      <c r="L318" s="1633"/>
      <c r="M318" s="1512"/>
      <c r="N318" s="1513" t="str">
        <f t="shared" si="25"/>
        <v/>
      </c>
      <c r="O318" s="1682" t="str">
        <f t="shared" si="26"/>
        <v/>
      </c>
      <c r="P318" s="1512"/>
      <c r="Q318" s="1513" t="str">
        <f t="shared" si="27"/>
        <v/>
      </c>
      <c r="R318" s="1683" t="str">
        <f t="shared" si="28"/>
        <v/>
      </c>
      <c r="S318" s="1512"/>
      <c r="T318" s="1513" t="str">
        <f t="shared" si="29"/>
        <v/>
      </c>
      <c r="U318" s="1512"/>
      <c r="V318" s="1512"/>
      <c r="W318" s="1638"/>
      <c r="X318" s="1514"/>
      <c r="Y318" s="1514"/>
      <c r="Z318" s="1514"/>
      <c r="AA318" s="1514"/>
      <c r="AB318" s="1514"/>
      <c r="AC318" s="1514"/>
      <c r="AD318" s="1514"/>
      <c r="AE318" s="1514"/>
      <c r="AF318" s="1514"/>
      <c r="AG318" s="1514"/>
      <c r="AH318" s="1514"/>
      <c r="AI318" s="1514"/>
      <c r="AJ318" s="1514"/>
      <c r="AK318" s="1514"/>
      <c r="AL318" s="1514"/>
      <c r="AM318" s="1514"/>
      <c r="AN318" s="1514"/>
      <c r="AO318" s="1514"/>
      <c r="AP318" s="1514"/>
      <c r="AQ318" s="1514"/>
      <c r="AR318" s="1514"/>
      <c r="AS318" s="1514"/>
    </row>
    <row r="319" spans="1:45" s="51" customFormat="1" x14ac:dyDescent="0.2">
      <c r="A319" s="1514"/>
      <c r="B319" s="1640"/>
      <c r="C319" s="1517"/>
      <c r="D319" s="1516"/>
      <c r="E319" s="1521"/>
      <c r="F319" s="1510"/>
      <c r="G319" s="1510"/>
      <c r="H319" s="1510"/>
      <c r="I319" s="1512"/>
      <c r="J319" s="1512"/>
      <c r="K319" s="1635" t="str">
        <f t="shared" si="24"/>
        <v/>
      </c>
      <c r="L319" s="1633"/>
      <c r="M319" s="1512"/>
      <c r="N319" s="1513" t="str">
        <f t="shared" si="25"/>
        <v/>
      </c>
      <c r="O319" s="1682" t="str">
        <f t="shared" si="26"/>
        <v/>
      </c>
      <c r="P319" s="1512"/>
      <c r="Q319" s="1513" t="str">
        <f t="shared" si="27"/>
        <v/>
      </c>
      <c r="R319" s="1683" t="str">
        <f t="shared" si="28"/>
        <v/>
      </c>
      <c r="S319" s="1512"/>
      <c r="T319" s="1513" t="str">
        <f t="shared" si="29"/>
        <v/>
      </c>
      <c r="U319" s="1512"/>
      <c r="V319" s="1512"/>
      <c r="W319" s="1638"/>
      <c r="X319" s="1514"/>
      <c r="Y319" s="1514"/>
      <c r="Z319" s="1514"/>
      <c r="AA319" s="1514"/>
      <c r="AB319" s="1514"/>
      <c r="AC319" s="1514"/>
      <c r="AD319" s="1514"/>
      <c r="AE319" s="1514"/>
      <c r="AF319" s="1514"/>
      <c r="AG319" s="1514"/>
      <c r="AH319" s="1514"/>
      <c r="AI319" s="1514"/>
      <c r="AJ319" s="1514"/>
      <c r="AK319" s="1514"/>
      <c r="AL319" s="1514"/>
      <c r="AM319" s="1514"/>
      <c r="AN319" s="1514"/>
      <c r="AO319" s="1514"/>
      <c r="AP319" s="1514"/>
      <c r="AQ319" s="1514"/>
      <c r="AR319" s="1514"/>
      <c r="AS319" s="1514"/>
    </row>
    <row r="320" spans="1:45" s="51" customFormat="1" x14ac:dyDescent="0.2">
      <c r="A320" s="1514"/>
      <c r="B320" s="1640"/>
      <c r="C320" s="1517"/>
      <c r="D320" s="1516"/>
      <c r="E320" s="1521"/>
      <c r="F320" s="1510"/>
      <c r="G320" s="1510"/>
      <c r="H320" s="1510"/>
      <c r="I320" s="1512"/>
      <c r="J320" s="1512"/>
      <c r="K320" s="1635" t="str">
        <f t="shared" si="24"/>
        <v/>
      </c>
      <c r="L320" s="1633"/>
      <c r="M320" s="1512"/>
      <c r="N320" s="1513" t="str">
        <f t="shared" si="25"/>
        <v/>
      </c>
      <c r="O320" s="1682" t="str">
        <f t="shared" si="26"/>
        <v/>
      </c>
      <c r="P320" s="1512"/>
      <c r="Q320" s="1513" t="str">
        <f t="shared" si="27"/>
        <v/>
      </c>
      <c r="R320" s="1683" t="str">
        <f t="shared" si="28"/>
        <v/>
      </c>
      <c r="S320" s="1512"/>
      <c r="T320" s="1513" t="str">
        <f t="shared" si="29"/>
        <v/>
      </c>
      <c r="U320" s="1512"/>
      <c r="V320" s="1512"/>
      <c r="W320" s="1638"/>
      <c r="X320" s="1514"/>
      <c r="Y320" s="1514"/>
      <c r="Z320" s="1514"/>
      <c r="AA320" s="1514"/>
      <c r="AB320" s="1514"/>
      <c r="AC320" s="1514"/>
      <c r="AD320" s="1514"/>
      <c r="AE320" s="1514"/>
      <c r="AF320" s="1514"/>
      <c r="AG320" s="1514"/>
      <c r="AH320" s="1514"/>
      <c r="AI320" s="1514"/>
      <c r="AJ320" s="1514"/>
      <c r="AK320" s="1514"/>
      <c r="AL320" s="1514"/>
      <c r="AM320" s="1514"/>
      <c r="AN320" s="1514"/>
      <c r="AO320" s="1514"/>
      <c r="AP320" s="1514"/>
      <c r="AQ320" s="1514"/>
      <c r="AR320" s="1514"/>
      <c r="AS320" s="1514"/>
    </row>
    <row r="321" spans="1:45" s="51" customFormat="1" x14ac:dyDescent="0.2">
      <c r="A321" s="1514"/>
      <c r="B321" s="1640"/>
      <c r="C321" s="1517"/>
      <c r="D321" s="1516"/>
      <c r="E321" s="1521"/>
      <c r="F321" s="1510"/>
      <c r="G321" s="1510"/>
      <c r="H321" s="1510"/>
      <c r="I321" s="1512"/>
      <c r="J321" s="1512"/>
      <c r="K321" s="1635" t="str">
        <f t="shared" si="24"/>
        <v/>
      </c>
      <c r="L321" s="1633"/>
      <c r="M321" s="1512"/>
      <c r="N321" s="1513" t="str">
        <f t="shared" si="25"/>
        <v/>
      </c>
      <c r="O321" s="1682" t="str">
        <f t="shared" si="26"/>
        <v/>
      </c>
      <c r="P321" s="1512"/>
      <c r="Q321" s="1513" t="str">
        <f t="shared" si="27"/>
        <v/>
      </c>
      <c r="R321" s="1683" t="str">
        <f t="shared" si="28"/>
        <v/>
      </c>
      <c r="S321" s="1512"/>
      <c r="T321" s="1513" t="str">
        <f t="shared" si="29"/>
        <v/>
      </c>
      <c r="U321" s="1512"/>
      <c r="V321" s="1512"/>
      <c r="W321" s="1638"/>
      <c r="X321" s="1514"/>
      <c r="Y321" s="1514"/>
      <c r="Z321" s="1514"/>
      <c r="AA321" s="1514"/>
      <c r="AB321" s="1514"/>
      <c r="AC321" s="1514"/>
      <c r="AD321" s="1514"/>
      <c r="AE321" s="1514"/>
      <c r="AF321" s="1514"/>
      <c r="AG321" s="1514"/>
      <c r="AH321" s="1514"/>
      <c r="AI321" s="1514"/>
      <c r="AJ321" s="1514"/>
      <c r="AK321" s="1514"/>
      <c r="AL321" s="1514"/>
      <c r="AM321" s="1514"/>
      <c r="AN321" s="1514"/>
      <c r="AO321" s="1514"/>
      <c r="AP321" s="1514"/>
      <c r="AQ321" s="1514"/>
      <c r="AR321" s="1514"/>
      <c r="AS321" s="1514"/>
    </row>
    <row r="322" spans="1:45" s="51" customFormat="1" x14ac:dyDescent="0.2">
      <c r="A322" s="1514"/>
      <c r="B322" s="1640"/>
      <c r="C322" s="1517"/>
      <c r="D322" s="1516"/>
      <c r="E322" s="1521"/>
      <c r="F322" s="1510"/>
      <c r="G322" s="1510"/>
      <c r="H322" s="1510"/>
      <c r="I322" s="1512"/>
      <c r="J322" s="1512"/>
      <c r="K322" s="1635" t="str">
        <f t="shared" si="24"/>
        <v/>
      </c>
      <c r="L322" s="1633"/>
      <c r="M322" s="1512"/>
      <c r="N322" s="1513" t="str">
        <f t="shared" si="25"/>
        <v/>
      </c>
      <c r="O322" s="1682" t="str">
        <f t="shared" si="26"/>
        <v/>
      </c>
      <c r="P322" s="1512"/>
      <c r="Q322" s="1513" t="str">
        <f t="shared" si="27"/>
        <v/>
      </c>
      <c r="R322" s="1683" t="str">
        <f t="shared" si="28"/>
        <v/>
      </c>
      <c r="S322" s="1512"/>
      <c r="T322" s="1513" t="str">
        <f t="shared" si="29"/>
        <v/>
      </c>
      <c r="U322" s="1512"/>
      <c r="V322" s="1512"/>
      <c r="W322" s="1638"/>
      <c r="X322" s="1514"/>
      <c r="Y322" s="1514"/>
      <c r="Z322" s="1514"/>
      <c r="AA322" s="1514"/>
      <c r="AB322" s="1514"/>
      <c r="AC322" s="1514"/>
      <c r="AD322" s="1514"/>
      <c r="AE322" s="1514"/>
      <c r="AF322" s="1514"/>
      <c r="AG322" s="1514"/>
      <c r="AH322" s="1514"/>
      <c r="AI322" s="1514"/>
      <c r="AJ322" s="1514"/>
      <c r="AK322" s="1514"/>
      <c r="AL322" s="1514"/>
      <c r="AM322" s="1514"/>
      <c r="AN322" s="1514"/>
      <c r="AO322" s="1514"/>
      <c r="AP322" s="1514"/>
      <c r="AQ322" s="1514"/>
      <c r="AR322" s="1514"/>
      <c r="AS322" s="1514"/>
    </row>
    <row r="323" spans="1:45" s="51" customFormat="1" x14ac:dyDescent="0.2">
      <c r="A323" s="1514"/>
      <c r="B323" s="1640"/>
      <c r="C323" s="1517"/>
      <c r="D323" s="1516"/>
      <c r="E323" s="1521"/>
      <c r="F323" s="1510"/>
      <c r="G323" s="1510"/>
      <c r="H323" s="1510"/>
      <c r="I323" s="1512"/>
      <c r="J323" s="1512"/>
      <c r="K323" s="1635" t="str">
        <f t="shared" si="24"/>
        <v/>
      </c>
      <c r="L323" s="1633"/>
      <c r="M323" s="1512"/>
      <c r="N323" s="1513" t="str">
        <f t="shared" si="25"/>
        <v/>
      </c>
      <c r="O323" s="1682" t="str">
        <f t="shared" si="26"/>
        <v/>
      </c>
      <c r="P323" s="1512"/>
      <c r="Q323" s="1513" t="str">
        <f t="shared" si="27"/>
        <v/>
      </c>
      <c r="R323" s="1683" t="str">
        <f t="shared" si="28"/>
        <v/>
      </c>
      <c r="S323" s="1512"/>
      <c r="T323" s="1513" t="str">
        <f t="shared" si="29"/>
        <v/>
      </c>
      <c r="U323" s="1512"/>
      <c r="V323" s="1512"/>
      <c r="W323" s="1638"/>
      <c r="X323" s="1514"/>
      <c r="Y323" s="1514"/>
      <c r="Z323" s="1514"/>
      <c r="AA323" s="1514"/>
      <c r="AB323" s="1514"/>
      <c r="AC323" s="1514"/>
      <c r="AD323" s="1514"/>
      <c r="AE323" s="1514"/>
      <c r="AF323" s="1514"/>
      <c r="AG323" s="1514"/>
      <c r="AH323" s="1514"/>
      <c r="AI323" s="1514"/>
      <c r="AJ323" s="1514"/>
      <c r="AK323" s="1514"/>
      <c r="AL323" s="1514"/>
      <c r="AM323" s="1514"/>
      <c r="AN323" s="1514"/>
      <c r="AO323" s="1514"/>
      <c r="AP323" s="1514"/>
      <c r="AQ323" s="1514"/>
      <c r="AR323" s="1514"/>
      <c r="AS323" s="1514"/>
    </row>
    <row r="324" spans="1:45" s="51" customFormat="1" x14ac:dyDescent="0.2">
      <c r="A324" s="1514"/>
      <c r="B324" s="1640"/>
      <c r="C324" s="1517"/>
      <c r="D324" s="1516"/>
      <c r="E324" s="1521"/>
      <c r="F324" s="1510"/>
      <c r="G324" s="1510"/>
      <c r="H324" s="1510"/>
      <c r="I324" s="1512"/>
      <c r="J324" s="1512"/>
      <c r="K324" s="1635" t="str">
        <f t="shared" si="24"/>
        <v/>
      </c>
      <c r="L324" s="1633"/>
      <c r="M324" s="1512"/>
      <c r="N324" s="1513" t="str">
        <f t="shared" si="25"/>
        <v/>
      </c>
      <c r="O324" s="1682" t="str">
        <f t="shared" si="26"/>
        <v/>
      </c>
      <c r="P324" s="1512"/>
      <c r="Q324" s="1513" t="str">
        <f t="shared" si="27"/>
        <v/>
      </c>
      <c r="R324" s="1683" t="str">
        <f t="shared" si="28"/>
        <v/>
      </c>
      <c r="S324" s="1512"/>
      <c r="T324" s="1513" t="str">
        <f t="shared" si="29"/>
        <v/>
      </c>
      <c r="U324" s="1512"/>
      <c r="V324" s="1512"/>
      <c r="W324" s="1638"/>
      <c r="X324" s="1514"/>
      <c r="Y324" s="1514"/>
      <c r="Z324" s="1514"/>
      <c r="AA324" s="1514"/>
      <c r="AB324" s="1514"/>
      <c r="AC324" s="1514"/>
      <c r="AD324" s="1514"/>
      <c r="AE324" s="1514"/>
      <c r="AF324" s="1514"/>
      <c r="AG324" s="1514"/>
      <c r="AH324" s="1514"/>
      <c r="AI324" s="1514"/>
      <c r="AJ324" s="1514"/>
      <c r="AK324" s="1514"/>
      <c r="AL324" s="1514"/>
      <c r="AM324" s="1514"/>
      <c r="AN324" s="1514"/>
      <c r="AO324" s="1514"/>
      <c r="AP324" s="1514"/>
      <c r="AQ324" s="1514"/>
      <c r="AR324" s="1514"/>
      <c r="AS324" s="1514"/>
    </row>
    <row r="325" spans="1:45" s="51" customFormat="1" x14ac:dyDescent="0.2">
      <c r="A325" s="1514"/>
      <c r="B325" s="1640"/>
      <c r="C325" s="1517"/>
      <c r="D325" s="1516"/>
      <c r="E325" s="1521"/>
      <c r="F325" s="1510"/>
      <c r="G325" s="1510"/>
      <c r="H325" s="1510"/>
      <c r="I325" s="1512"/>
      <c r="J325" s="1512"/>
      <c r="K325" s="1635" t="str">
        <f t="shared" si="24"/>
        <v/>
      </c>
      <c r="L325" s="1633"/>
      <c r="M325" s="1512"/>
      <c r="N325" s="1513" t="str">
        <f t="shared" si="25"/>
        <v/>
      </c>
      <c r="O325" s="1682" t="str">
        <f t="shared" si="26"/>
        <v/>
      </c>
      <c r="P325" s="1512"/>
      <c r="Q325" s="1513" t="str">
        <f t="shared" si="27"/>
        <v/>
      </c>
      <c r="R325" s="1683" t="str">
        <f t="shared" si="28"/>
        <v/>
      </c>
      <c r="S325" s="1512"/>
      <c r="T325" s="1513" t="str">
        <f t="shared" si="29"/>
        <v/>
      </c>
      <c r="U325" s="1512"/>
      <c r="V325" s="1512"/>
      <c r="W325" s="1638"/>
      <c r="X325" s="1514"/>
      <c r="Y325" s="1514"/>
      <c r="Z325" s="1514"/>
      <c r="AA325" s="1514"/>
      <c r="AB325" s="1514"/>
      <c r="AC325" s="1514"/>
      <c r="AD325" s="1514"/>
      <c r="AE325" s="1514"/>
      <c r="AF325" s="1514"/>
      <c r="AG325" s="1514"/>
      <c r="AH325" s="1514"/>
      <c r="AI325" s="1514"/>
      <c r="AJ325" s="1514"/>
      <c r="AK325" s="1514"/>
      <c r="AL325" s="1514"/>
      <c r="AM325" s="1514"/>
      <c r="AN325" s="1514"/>
      <c r="AO325" s="1514"/>
      <c r="AP325" s="1514"/>
      <c r="AQ325" s="1514"/>
      <c r="AR325" s="1514"/>
      <c r="AS325" s="1514"/>
    </row>
    <row r="326" spans="1:45" s="51" customFormat="1" x14ac:dyDescent="0.2">
      <c r="A326" s="1514"/>
      <c r="B326" s="1640"/>
      <c r="C326" s="1517"/>
      <c r="D326" s="1516"/>
      <c r="E326" s="1521"/>
      <c r="F326" s="1510"/>
      <c r="G326" s="1510"/>
      <c r="H326" s="1510"/>
      <c r="I326" s="1512"/>
      <c r="J326" s="1512"/>
      <c r="K326" s="1635" t="str">
        <f t="shared" si="24"/>
        <v/>
      </c>
      <c r="L326" s="1633"/>
      <c r="M326" s="1512"/>
      <c r="N326" s="1513" t="str">
        <f t="shared" si="25"/>
        <v/>
      </c>
      <c r="O326" s="1682" t="str">
        <f t="shared" si="26"/>
        <v/>
      </c>
      <c r="P326" s="1512"/>
      <c r="Q326" s="1513" t="str">
        <f t="shared" si="27"/>
        <v/>
      </c>
      <c r="R326" s="1683" t="str">
        <f t="shared" si="28"/>
        <v/>
      </c>
      <c r="S326" s="1512"/>
      <c r="T326" s="1513" t="str">
        <f t="shared" si="29"/>
        <v/>
      </c>
      <c r="U326" s="1512"/>
      <c r="V326" s="1512"/>
      <c r="W326" s="1638"/>
      <c r="X326" s="1514"/>
      <c r="Y326" s="1514"/>
      <c r="Z326" s="1514"/>
      <c r="AA326" s="1514"/>
      <c r="AB326" s="1514"/>
      <c r="AC326" s="1514"/>
      <c r="AD326" s="1514"/>
      <c r="AE326" s="1514"/>
      <c r="AF326" s="1514"/>
      <c r="AG326" s="1514"/>
      <c r="AH326" s="1514"/>
      <c r="AI326" s="1514"/>
      <c r="AJ326" s="1514"/>
      <c r="AK326" s="1514"/>
      <c r="AL326" s="1514"/>
      <c r="AM326" s="1514"/>
      <c r="AN326" s="1514"/>
      <c r="AO326" s="1514"/>
      <c r="AP326" s="1514"/>
      <c r="AQ326" s="1514"/>
      <c r="AR326" s="1514"/>
      <c r="AS326" s="1514"/>
    </row>
    <row r="327" spans="1:45" s="51" customFormat="1" x14ac:dyDescent="0.2">
      <c r="A327" s="1514"/>
      <c r="B327" s="1640"/>
      <c r="C327" s="1517"/>
      <c r="D327" s="1516"/>
      <c r="E327" s="1521"/>
      <c r="F327" s="1510"/>
      <c r="G327" s="1510"/>
      <c r="H327" s="1510"/>
      <c r="I327" s="1512"/>
      <c r="J327" s="1512"/>
      <c r="K327" s="1635" t="str">
        <f t="shared" si="24"/>
        <v/>
      </c>
      <c r="L327" s="1633"/>
      <c r="M327" s="1512"/>
      <c r="N327" s="1513" t="str">
        <f t="shared" si="25"/>
        <v/>
      </c>
      <c r="O327" s="1682" t="str">
        <f t="shared" si="26"/>
        <v/>
      </c>
      <c r="P327" s="1512"/>
      <c r="Q327" s="1513" t="str">
        <f t="shared" si="27"/>
        <v/>
      </c>
      <c r="R327" s="1683" t="str">
        <f t="shared" si="28"/>
        <v/>
      </c>
      <c r="S327" s="1512"/>
      <c r="T327" s="1513" t="str">
        <f t="shared" si="29"/>
        <v/>
      </c>
      <c r="U327" s="1512"/>
      <c r="V327" s="1512"/>
      <c r="W327" s="1638"/>
      <c r="X327" s="1514"/>
      <c r="Y327" s="1514"/>
      <c r="Z327" s="1514"/>
      <c r="AA327" s="1514"/>
      <c r="AB327" s="1514"/>
      <c r="AC327" s="1514"/>
      <c r="AD327" s="1514"/>
      <c r="AE327" s="1514"/>
      <c r="AF327" s="1514"/>
      <c r="AG327" s="1514"/>
      <c r="AH327" s="1514"/>
      <c r="AI327" s="1514"/>
      <c r="AJ327" s="1514"/>
      <c r="AK327" s="1514"/>
      <c r="AL327" s="1514"/>
      <c r="AM327" s="1514"/>
      <c r="AN327" s="1514"/>
      <c r="AO327" s="1514"/>
      <c r="AP327" s="1514"/>
      <c r="AQ327" s="1514"/>
      <c r="AR327" s="1514"/>
      <c r="AS327" s="1514"/>
    </row>
    <row r="328" spans="1:45" s="51" customFormat="1" x14ac:dyDescent="0.2">
      <c r="A328" s="1514"/>
      <c r="B328" s="1640"/>
      <c r="C328" s="1517"/>
      <c r="D328" s="1516"/>
      <c r="E328" s="1521"/>
      <c r="F328" s="1510"/>
      <c r="G328" s="1510"/>
      <c r="H328" s="1510"/>
      <c r="I328" s="1512"/>
      <c r="J328" s="1512"/>
      <c r="K328" s="1635" t="str">
        <f t="shared" si="24"/>
        <v/>
      </c>
      <c r="L328" s="1633"/>
      <c r="M328" s="1512"/>
      <c r="N328" s="1513" t="str">
        <f t="shared" si="25"/>
        <v/>
      </c>
      <c r="O328" s="1682" t="str">
        <f t="shared" si="26"/>
        <v/>
      </c>
      <c r="P328" s="1512"/>
      <c r="Q328" s="1513" t="str">
        <f t="shared" si="27"/>
        <v/>
      </c>
      <c r="R328" s="1683" t="str">
        <f t="shared" si="28"/>
        <v/>
      </c>
      <c r="S328" s="1512"/>
      <c r="T328" s="1513" t="str">
        <f t="shared" si="29"/>
        <v/>
      </c>
      <c r="U328" s="1512"/>
      <c r="V328" s="1512"/>
      <c r="W328" s="1638"/>
      <c r="X328" s="1514"/>
      <c r="Y328" s="1514"/>
      <c r="Z328" s="1514"/>
      <c r="AA328" s="1514"/>
      <c r="AB328" s="1514"/>
      <c r="AC328" s="1514"/>
      <c r="AD328" s="1514"/>
      <c r="AE328" s="1514"/>
      <c r="AF328" s="1514"/>
      <c r="AG328" s="1514"/>
      <c r="AH328" s="1514"/>
      <c r="AI328" s="1514"/>
      <c r="AJ328" s="1514"/>
      <c r="AK328" s="1514"/>
      <c r="AL328" s="1514"/>
      <c r="AM328" s="1514"/>
      <c r="AN328" s="1514"/>
      <c r="AO328" s="1514"/>
      <c r="AP328" s="1514"/>
      <c r="AQ328" s="1514"/>
      <c r="AR328" s="1514"/>
      <c r="AS328" s="1514"/>
    </row>
    <row r="329" spans="1:45" s="51" customFormat="1" x14ac:dyDescent="0.2">
      <c r="A329" s="1514"/>
      <c r="B329" s="1640"/>
      <c r="C329" s="1517"/>
      <c r="D329" s="1516"/>
      <c r="E329" s="1521"/>
      <c r="F329" s="1510"/>
      <c r="G329" s="1510"/>
      <c r="H329" s="1510"/>
      <c r="I329" s="1512"/>
      <c r="J329" s="1512"/>
      <c r="K329" s="1635" t="str">
        <f t="shared" si="24"/>
        <v/>
      </c>
      <c r="L329" s="1633"/>
      <c r="M329" s="1512"/>
      <c r="N329" s="1513" t="str">
        <f t="shared" si="25"/>
        <v/>
      </c>
      <c r="O329" s="1682" t="str">
        <f t="shared" si="26"/>
        <v/>
      </c>
      <c r="P329" s="1512"/>
      <c r="Q329" s="1513" t="str">
        <f t="shared" si="27"/>
        <v/>
      </c>
      <c r="R329" s="1683" t="str">
        <f t="shared" si="28"/>
        <v/>
      </c>
      <c r="S329" s="1512"/>
      <c r="T329" s="1513" t="str">
        <f t="shared" si="29"/>
        <v/>
      </c>
      <c r="U329" s="1512"/>
      <c r="V329" s="1512"/>
      <c r="W329" s="1638"/>
      <c r="X329" s="1514"/>
      <c r="Y329" s="1514"/>
      <c r="Z329" s="1514"/>
      <c r="AA329" s="1514"/>
      <c r="AB329" s="1514"/>
      <c r="AC329" s="1514"/>
      <c r="AD329" s="1514"/>
      <c r="AE329" s="1514"/>
      <c r="AF329" s="1514"/>
      <c r="AG329" s="1514"/>
      <c r="AH329" s="1514"/>
      <c r="AI329" s="1514"/>
      <c r="AJ329" s="1514"/>
      <c r="AK329" s="1514"/>
      <c r="AL329" s="1514"/>
      <c r="AM329" s="1514"/>
      <c r="AN329" s="1514"/>
      <c r="AO329" s="1514"/>
      <c r="AP329" s="1514"/>
      <c r="AQ329" s="1514"/>
      <c r="AR329" s="1514"/>
      <c r="AS329" s="1514"/>
    </row>
    <row r="330" spans="1:45" s="51" customFormat="1" x14ac:dyDescent="0.2">
      <c r="A330" s="1514"/>
      <c r="B330" s="1640"/>
      <c r="C330" s="1517"/>
      <c r="D330" s="1516"/>
      <c r="E330" s="1521"/>
      <c r="F330" s="1510"/>
      <c r="G330" s="1510"/>
      <c r="H330" s="1510"/>
      <c r="I330" s="1512"/>
      <c r="J330" s="1512"/>
      <c r="K330" s="1635" t="str">
        <f t="shared" si="24"/>
        <v/>
      </c>
      <c r="L330" s="1633"/>
      <c r="M330" s="1512"/>
      <c r="N330" s="1513" t="str">
        <f t="shared" si="25"/>
        <v/>
      </c>
      <c r="O330" s="1682" t="str">
        <f t="shared" si="26"/>
        <v/>
      </c>
      <c r="P330" s="1512"/>
      <c r="Q330" s="1513" t="str">
        <f t="shared" si="27"/>
        <v/>
      </c>
      <c r="R330" s="1683" t="str">
        <f t="shared" si="28"/>
        <v/>
      </c>
      <c r="S330" s="1512"/>
      <c r="T330" s="1513" t="str">
        <f t="shared" si="29"/>
        <v/>
      </c>
      <c r="U330" s="1512"/>
      <c r="V330" s="1512"/>
      <c r="W330" s="1638"/>
      <c r="X330" s="1514"/>
      <c r="Y330" s="1514"/>
      <c r="Z330" s="1514"/>
      <c r="AA330" s="1514"/>
      <c r="AB330" s="1514"/>
      <c r="AC330" s="1514"/>
      <c r="AD330" s="1514"/>
      <c r="AE330" s="1514"/>
      <c r="AF330" s="1514"/>
      <c r="AG330" s="1514"/>
      <c r="AH330" s="1514"/>
      <c r="AI330" s="1514"/>
      <c r="AJ330" s="1514"/>
      <c r="AK330" s="1514"/>
      <c r="AL330" s="1514"/>
      <c r="AM330" s="1514"/>
      <c r="AN330" s="1514"/>
      <c r="AO330" s="1514"/>
      <c r="AP330" s="1514"/>
      <c r="AQ330" s="1514"/>
      <c r="AR330" s="1514"/>
      <c r="AS330" s="1514"/>
    </row>
    <row r="331" spans="1:45" s="51" customFormat="1" x14ac:dyDescent="0.2">
      <c r="A331" s="1514"/>
      <c r="B331" s="1640"/>
      <c r="C331" s="1517"/>
      <c r="D331" s="1516"/>
      <c r="E331" s="1521"/>
      <c r="F331" s="1510"/>
      <c r="G331" s="1510"/>
      <c r="H331" s="1510"/>
      <c r="I331" s="1512"/>
      <c r="J331" s="1512"/>
      <c r="K331" s="1635" t="str">
        <f t="shared" si="24"/>
        <v/>
      </c>
      <c r="L331" s="1633"/>
      <c r="M331" s="1512"/>
      <c r="N331" s="1513" t="str">
        <f t="shared" si="25"/>
        <v/>
      </c>
      <c r="O331" s="1682" t="str">
        <f t="shared" si="26"/>
        <v/>
      </c>
      <c r="P331" s="1512"/>
      <c r="Q331" s="1513" t="str">
        <f t="shared" si="27"/>
        <v/>
      </c>
      <c r="R331" s="1683" t="str">
        <f t="shared" si="28"/>
        <v/>
      </c>
      <c r="S331" s="1512"/>
      <c r="T331" s="1513" t="str">
        <f t="shared" si="29"/>
        <v/>
      </c>
      <c r="U331" s="1512"/>
      <c r="V331" s="1512"/>
      <c r="W331" s="1638"/>
      <c r="X331" s="1514"/>
      <c r="Y331" s="1514"/>
      <c r="Z331" s="1514"/>
      <c r="AA331" s="1514"/>
      <c r="AB331" s="1514"/>
      <c r="AC331" s="1514"/>
      <c r="AD331" s="1514"/>
      <c r="AE331" s="1514"/>
      <c r="AF331" s="1514"/>
      <c r="AG331" s="1514"/>
      <c r="AH331" s="1514"/>
      <c r="AI331" s="1514"/>
      <c r="AJ331" s="1514"/>
      <c r="AK331" s="1514"/>
      <c r="AL331" s="1514"/>
      <c r="AM331" s="1514"/>
      <c r="AN331" s="1514"/>
      <c r="AO331" s="1514"/>
      <c r="AP331" s="1514"/>
      <c r="AQ331" s="1514"/>
      <c r="AR331" s="1514"/>
      <c r="AS331" s="1514"/>
    </row>
    <row r="332" spans="1:45" s="51" customFormat="1" x14ac:dyDescent="0.2">
      <c r="A332" s="1514"/>
      <c r="B332" s="1640"/>
      <c r="C332" s="1517"/>
      <c r="D332" s="1516"/>
      <c r="E332" s="1521"/>
      <c r="F332" s="1510"/>
      <c r="G332" s="1510"/>
      <c r="H332" s="1510"/>
      <c r="I332" s="1512"/>
      <c r="J332" s="1512"/>
      <c r="K332" s="1635" t="str">
        <f t="shared" si="24"/>
        <v/>
      </c>
      <c r="L332" s="1633"/>
      <c r="M332" s="1512"/>
      <c r="N332" s="1513" t="str">
        <f t="shared" si="25"/>
        <v/>
      </c>
      <c r="O332" s="1682" t="str">
        <f t="shared" si="26"/>
        <v/>
      </c>
      <c r="P332" s="1512"/>
      <c r="Q332" s="1513" t="str">
        <f t="shared" si="27"/>
        <v/>
      </c>
      <c r="R332" s="1683" t="str">
        <f t="shared" si="28"/>
        <v/>
      </c>
      <c r="S332" s="1512"/>
      <c r="T332" s="1513" t="str">
        <f t="shared" si="29"/>
        <v/>
      </c>
      <c r="U332" s="1512"/>
      <c r="V332" s="1512"/>
      <c r="W332" s="1638"/>
      <c r="X332" s="1514"/>
      <c r="Y332" s="1514"/>
      <c r="Z332" s="1514"/>
      <c r="AA332" s="1514"/>
      <c r="AB332" s="1514"/>
      <c r="AC332" s="1514"/>
      <c r="AD332" s="1514"/>
      <c r="AE332" s="1514"/>
      <c r="AF332" s="1514"/>
      <c r="AG332" s="1514"/>
      <c r="AH332" s="1514"/>
      <c r="AI332" s="1514"/>
      <c r="AJ332" s="1514"/>
      <c r="AK332" s="1514"/>
      <c r="AL332" s="1514"/>
      <c r="AM332" s="1514"/>
      <c r="AN332" s="1514"/>
      <c r="AO332" s="1514"/>
      <c r="AP332" s="1514"/>
      <c r="AQ332" s="1514"/>
      <c r="AR332" s="1514"/>
      <c r="AS332" s="1514"/>
    </row>
    <row r="333" spans="1:45" s="51" customFormat="1" x14ac:dyDescent="0.2">
      <c r="A333" s="1514"/>
      <c r="B333" s="1640"/>
      <c r="C333" s="1517"/>
      <c r="D333" s="1516"/>
      <c r="E333" s="1521"/>
      <c r="F333" s="1510"/>
      <c r="G333" s="1510"/>
      <c r="H333" s="1510"/>
      <c r="I333" s="1512"/>
      <c r="J333" s="1512"/>
      <c r="K333" s="1635" t="str">
        <f t="shared" si="24"/>
        <v/>
      </c>
      <c r="L333" s="1633"/>
      <c r="M333" s="1512"/>
      <c r="N333" s="1513" t="str">
        <f t="shared" si="25"/>
        <v/>
      </c>
      <c r="O333" s="1682" t="str">
        <f t="shared" si="26"/>
        <v/>
      </c>
      <c r="P333" s="1512"/>
      <c r="Q333" s="1513" t="str">
        <f t="shared" si="27"/>
        <v/>
      </c>
      <c r="R333" s="1683" t="str">
        <f t="shared" si="28"/>
        <v/>
      </c>
      <c r="S333" s="1512"/>
      <c r="T333" s="1513" t="str">
        <f t="shared" si="29"/>
        <v/>
      </c>
      <c r="U333" s="1512"/>
      <c r="V333" s="1512"/>
      <c r="W333" s="1638"/>
      <c r="X333" s="1514"/>
      <c r="Y333" s="1514"/>
      <c r="Z333" s="1514"/>
      <c r="AA333" s="1514"/>
      <c r="AB333" s="1514"/>
      <c r="AC333" s="1514"/>
      <c r="AD333" s="1514"/>
      <c r="AE333" s="1514"/>
      <c r="AF333" s="1514"/>
      <c r="AG333" s="1514"/>
      <c r="AH333" s="1514"/>
      <c r="AI333" s="1514"/>
      <c r="AJ333" s="1514"/>
      <c r="AK333" s="1514"/>
      <c r="AL333" s="1514"/>
      <c r="AM333" s="1514"/>
      <c r="AN333" s="1514"/>
      <c r="AO333" s="1514"/>
      <c r="AP333" s="1514"/>
      <c r="AQ333" s="1514"/>
      <c r="AR333" s="1514"/>
      <c r="AS333" s="1514"/>
    </row>
    <row r="334" spans="1:45" s="51" customFormat="1" x14ac:dyDescent="0.2">
      <c r="A334" s="1514"/>
      <c r="B334" s="1640"/>
      <c r="C334" s="1517"/>
      <c r="D334" s="1516"/>
      <c r="E334" s="1523"/>
      <c r="F334" s="1510"/>
      <c r="G334" s="1510"/>
      <c r="H334" s="1510"/>
      <c r="I334" s="1512"/>
      <c r="J334" s="1512"/>
      <c r="K334" s="1635" t="str">
        <f t="shared" si="24"/>
        <v/>
      </c>
      <c r="L334" s="1633"/>
      <c r="M334" s="1512"/>
      <c r="N334" s="1513" t="str">
        <f t="shared" si="25"/>
        <v/>
      </c>
      <c r="O334" s="1682" t="str">
        <f t="shared" si="26"/>
        <v/>
      </c>
      <c r="P334" s="1512"/>
      <c r="Q334" s="1513" t="str">
        <f t="shared" si="27"/>
        <v/>
      </c>
      <c r="R334" s="1683" t="str">
        <f t="shared" si="28"/>
        <v/>
      </c>
      <c r="S334" s="1512"/>
      <c r="T334" s="1513" t="str">
        <f t="shared" si="29"/>
        <v/>
      </c>
      <c r="U334" s="1512"/>
      <c r="V334" s="1512"/>
      <c r="W334" s="1638"/>
      <c r="X334" s="1514"/>
      <c r="Y334" s="1514"/>
      <c r="Z334" s="1514"/>
      <c r="AA334" s="1514"/>
      <c r="AB334" s="1514"/>
      <c r="AC334" s="1514"/>
      <c r="AD334" s="1514"/>
      <c r="AE334" s="1514"/>
      <c r="AF334" s="1514"/>
      <c r="AG334" s="1514"/>
      <c r="AH334" s="1514"/>
      <c r="AI334" s="1514"/>
      <c r="AJ334" s="1514"/>
      <c r="AK334" s="1514"/>
      <c r="AL334" s="1514"/>
      <c r="AM334" s="1514"/>
      <c r="AN334" s="1514"/>
      <c r="AO334" s="1514"/>
      <c r="AP334" s="1514"/>
      <c r="AQ334" s="1514"/>
      <c r="AR334" s="1514"/>
      <c r="AS334" s="1514"/>
    </row>
    <row r="335" spans="1:45" s="51" customFormat="1" x14ac:dyDescent="0.2">
      <c r="A335" s="1514"/>
      <c r="B335" s="1640"/>
      <c r="C335" s="1517"/>
      <c r="D335" s="1516"/>
      <c r="E335" s="1518"/>
      <c r="F335" s="1510"/>
      <c r="G335" s="1510"/>
      <c r="H335" s="1510"/>
      <c r="I335" s="1512"/>
      <c r="J335" s="1512"/>
      <c r="K335" s="1635" t="str">
        <f t="shared" si="24"/>
        <v/>
      </c>
      <c r="L335" s="1633"/>
      <c r="M335" s="1512"/>
      <c r="N335" s="1513" t="str">
        <f t="shared" si="25"/>
        <v/>
      </c>
      <c r="O335" s="1682" t="str">
        <f t="shared" si="26"/>
        <v/>
      </c>
      <c r="P335" s="1512"/>
      <c r="Q335" s="1513" t="str">
        <f t="shared" si="27"/>
        <v/>
      </c>
      <c r="R335" s="1683" t="str">
        <f t="shared" si="28"/>
        <v/>
      </c>
      <c r="S335" s="1512"/>
      <c r="T335" s="1513" t="str">
        <f t="shared" si="29"/>
        <v/>
      </c>
      <c r="U335" s="1512"/>
      <c r="V335" s="1512"/>
      <c r="W335" s="1638"/>
      <c r="X335" s="1514"/>
      <c r="Y335" s="1514"/>
      <c r="Z335" s="1514"/>
      <c r="AA335" s="1514"/>
      <c r="AB335" s="1514"/>
      <c r="AC335" s="1514"/>
      <c r="AD335" s="1514"/>
      <c r="AE335" s="1514"/>
      <c r="AF335" s="1514"/>
      <c r="AG335" s="1514"/>
      <c r="AH335" s="1514"/>
      <c r="AI335" s="1514"/>
      <c r="AJ335" s="1514"/>
      <c r="AK335" s="1514"/>
      <c r="AL335" s="1514"/>
      <c r="AM335" s="1514"/>
      <c r="AN335" s="1514"/>
      <c r="AO335" s="1514"/>
      <c r="AP335" s="1514"/>
      <c r="AQ335" s="1514"/>
      <c r="AR335" s="1514"/>
      <c r="AS335" s="1514"/>
    </row>
    <row r="336" spans="1:45" s="51" customFormat="1" x14ac:dyDescent="0.2">
      <c r="A336" s="1514"/>
      <c r="B336" s="1640"/>
      <c r="C336" s="1517"/>
      <c r="D336" s="1516"/>
      <c r="E336" s="1524"/>
      <c r="F336" s="1510"/>
      <c r="G336" s="1510"/>
      <c r="H336" s="1510"/>
      <c r="I336" s="1512"/>
      <c r="J336" s="1512"/>
      <c r="K336" s="1635" t="str">
        <f t="shared" si="24"/>
        <v/>
      </c>
      <c r="L336" s="1633"/>
      <c r="M336" s="1512"/>
      <c r="N336" s="1513" t="str">
        <f t="shared" si="25"/>
        <v/>
      </c>
      <c r="O336" s="1682" t="str">
        <f t="shared" si="26"/>
        <v/>
      </c>
      <c r="P336" s="1512"/>
      <c r="Q336" s="1513" t="str">
        <f t="shared" si="27"/>
        <v/>
      </c>
      <c r="R336" s="1683" t="str">
        <f t="shared" si="28"/>
        <v/>
      </c>
      <c r="S336" s="1512"/>
      <c r="T336" s="1513" t="str">
        <f t="shared" si="29"/>
        <v/>
      </c>
      <c r="U336" s="1512"/>
      <c r="V336" s="1512"/>
      <c r="W336" s="1638"/>
      <c r="X336" s="1514"/>
      <c r="Y336" s="1514"/>
      <c r="Z336" s="1514"/>
      <c r="AA336" s="1514"/>
      <c r="AB336" s="1514"/>
      <c r="AC336" s="1514"/>
      <c r="AD336" s="1514"/>
      <c r="AE336" s="1514"/>
      <c r="AF336" s="1514"/>
      <c r="AG336" s="1514"/>
      <c r="AH336" s="1514"/>
      <c r="AI336" s="1514"/>
      <c r="AJ336" s="1514"/>
      <c r="AK336" s="1514"/>
      <c r="AL336" s="1514"/>
      <c r="AM336" s="1514"/>
      <c r="AN336" s="1514"/>
      <c r="AO336" s="1514"/>
      <c r="AP336" s="1514"/>
      <c r="AQ336" s="1514"/>
      <c r="AR336" s="1514"/>
      <c r="AS336" s="1514"/>
    </row>
    <row r="337" spans="1:45" s="51" customFormat="1" x14ac:dyDescent="0.2">
      <c r="A337" s="1514"/>
      <c r="B337" s="1640"/>
      <c r="C337" s="1517"/>
      <c r="D337" s="1516"/>
      <c r="E337" s="1525"/>
      <c r="F337" s="1510"/>
      <c r="G337" s="1510"/>
      <c r="H337" s="1510"/>
      <c r="I337" s="1512"/>
      <c r="J337" s="1512"/>
      <c r="K337" s="1635" t="str">
        <f t="shared" si="24"/>
        <v/>
      </c>
      <c r="L337" s="1633"/>
      <c r="M337" s="1512"/>
      <c r="N337" s="1513" t="str">
        <f t="shared" si="25"/>
        <v/>
      </c>
      <c r="O337" s="1682" t="str">
        <f t="shared" si="26"/>
        <v/>
      </c>
      <c r="P337" s="1512"/>
      <c r="Q337" s="1513" t="str">
        <f t="shared" si="27"/>
        <v/>
      </c>
      <c r="R337" s="1683" t="str">
        <f t="shared" si="28"/>
        <v/>
      </c>
      <c r="S337" s="1512"/>
      <c r="T337" s="1513" t="str">
        <f t="shared" si="29"/>
        <v/>
      </c>
      <c r="U337" s="1512"/>
      <c r="V337" s="1512"/>
      <c r="W337" s="1638"/>
      <c r="X337" s="1514"/>
      <c r="Y337" s="1514"/>
      <c r="Z337" s="1514"/>
      <c r="AA337" s="1514"/>
      <c r="AB337" s="1514"/>
      <c r="AC337" s="1514"/>
      <c r="AD337" s="1514"/>
      <c r="AE337" s="1514"/>
      <c r="AF337" s="1514"/>
      <c r="AG337" s="1514"/>
      <c r="AH337" s="1514"/>
      <c r="AI337" s="1514"/>
      <c r="AJ337" s="1514"/>
      <c r="AK337" s="1514"/>
      <c r="AL337" s="1514"/>
      <c r="AM337" s="1514"/>
      <c r="AN337" s="1514"/>
      <c r="AO337" s="1514"/>
      <c r="AP337" s="1514"/>
      <c r="AQ337" s="1514"/>
      <c r="AR337" s="1514"/>
      <c r="AS337" s="1514"/>
    </row>
    <row r="338" spans="1:45" s="51" customFormat="1" x14ac:dyDescent="0.2">
      <c r="A338" s="1514"/>
      <c r="B338" s="1640"/>
      <c r="C338" s="1517"/>
      <c r="D338" s="1516"/>
      <c r="E338" s="1525"/>
      <c r="F338" s="1510"/>
      <c r="G338" s="1510"/>
      <c r="H338" s="1510"/>
      <c r="I338" s="1512"/>
      <c r="J338" s="1512"/>
      <c r="K338" s="1635" t="str">
        <f t="shared" si="24"/>
        <v/>
      </c>
      <c r="L338" s="1633"/>
      <c r="M338" s="1512"/>
      <c r="N338" s="1513" t="str">
        <f t="shared" si="25"/>
        <v/>
      </c>
      <c r="O338" s="1682" t="str">
        <f t="shared" si="26"/>
        <v/>
      </c>
      <c r="P338" s="1512"/>
      <c r="Q338" s="1513" t="str">
        <f t="shared" si="27"/>
        <v/>
      </c>
      <c r="R338" s="1683" t="str">
        <f t="shared" si="28"/>
        <v/>
      </c>
      <c r="S338" s="1512"/>
      <c r="T338" s="1513" t="str">
        <f t="shared" si="29"/>
        <v/>
      </c>
      <c r="U338" s="1512"/>
      <c r="V338" s="1512"/>
      <c r="W338" s="1638"/>
      <c r="X338" s="1514"/>
      <c r="Y338" s="1514"/>
      <c r="Z338" s="1514"/>
      <c r="AA338" s="1514"/>
      <c r="AB338" s="1514"/>
      <c r="AC338" s="1514"/>
      <c r="AD338" s="1514"/>
      <c r="AE338" s="1514"/>
      <c r="AF338" s="1514"/>
      <c r="AG338" s="1514"/>
      <c r="AH338" s="1514"/>
      <c r="AI338" s="1514"/>
      <c r="AJ338" s="1514"/>
      <c r="AK338" s="1514"/>
      <c r="AL338" s="1514"/>
      <c r="AM338" s="1514"/>
      <c r="AN338" s="1514"/>
      <c r="AO338" s="1514"/>
      <c r="AP338" s="1514"/>
      <c r="AQ338" s="1514"/>
      <c r="AR338" s="1514"/>
      <c r="AS338" s="1514"/>
    </row>
    <row r="339" spans="1:45" s="51" customFormat="1" x14ac:dyDescent="0.2">
      <c r="A339" s="1514"/>
      <c r="B339" s="1640"/>
      <c r="C339" s="1517"/>
      <c r="D339" s="1516"/>
      <c r="E339" s="1525"/>
      <c r="F339" s="1510"/>
      <c r="G339" s="1510"/>
      <c r="H339" s="1510"/>
      <c r="I339" s="1512"/>
      <c r="J339" s="1512"/>
      <c r="K339" s="1635" t="str">
        <f t="shared" si="24"/>
        <v/>
      </c>
      <c r="L339" s="1633"/>
      <c r="M339" s="1512"/>
      <c r="N339" s="1513" t="str">
        <f t="shared" si="25"/>
        <v/>
      </c>
      <c r="O339" s="1682" t="str">
        <f t="shared" si="26"/>
        <v/>
      </c>
      <c r="P339" s="1512"/>
      <c r="Q339" s="1513" t="str">
        <f t="shared" si="27"/>
        <v/>
      </c>
      <c r="R339" s="1683" t="str">
        <f t="shared" si="28"/>
        <v/>
      </c>
      <c r="S339" s="1512"/>
      <c r="T339" s="1513" t="str">
        <f t="shared" si="29"/>
        <v/>
      </c>
      <c r="U339" s="1512"/>
      <c r="V339" s="1512"/>
      <c r="W339" s="1638"/>
      <c r="X339" s="1514"/>
      <c r="Y339" s="1514"/>
      <c r="Z339" s="1514"/>
      <c r="AA339" s="1514"/>
      <c r="AB339" s="1514"/>
      <c r="AC339" s="1514"/>
      <c r="AD339" s="1514"/>
      <c r="AE339" s="1514"/>
      <c r="AF339" s="1514"/>
      <c r="AG339" s="1514"/>
      <c r="AH339" s="1514"/>
      <c r="AI339" s="1514"/>
      <c r="AJ339" s="1514"/>
      <c r="AK339" s="1514"/>
      <c r="AL339" s="1514"/>
      <c r="AM339" s="1514"/>
      <c r="AN339" s="1514"/>
      <c r="AO339" s="1514"/>
      <c r="AP339" s="1514"/>
      <c r="AQ339" s="1514"/>
      <c r="AR339" s="1514"/>
      <c r="AS339" s="1514"/>
    </row>
    <row r="340" spans="1:45" s="51" customFormat="1" x14ac:dyDescent="0.2">
      <c r="A340" s="1514"/>
      <c r="B340" s="1640"/>
      <c r="C340" s="1517"/>
      <c r="D340" s="1516"/>
      <c r="E340" s="1525"/>
      <c r="F340" s="1510"/>
      <c r="G340" s="1510"/>
      <c r="H340" s="1510"/>
      <c r="I340" s="1512"/>
      <c r="J340" s="1512"/>
      <c r="K340" s="1635" t="str">
        <f t="shared" si="24"/>
        <v/>
      </c>
      <c r="L340" s="1633"/>
      <c r="M340" s="1512"/>
      <c r="N340" s="1513" t="str">
        <f t="shared" si="25"/>
        <v/>
      </c>
      <c r="O340" s="1682" t="str">
        <f t="shared" si="26"/>
        <v/>
      </c>
      <c r="P340" s="1512"/>
      <c r="Q340" s="1513" t="str">
        <f t="shared" si="27"/>
        <v/>
      </c>
      <c r="R340" s="1683" t="str">
        <f t="shared" si="28"/>
        <v/>
      </c>
      <c r="S340" s="1512"/>
      <c r="T340" s="1513" t="str">
        <f t="shared" si="29"/>
        <v/>
      </c>
      <c r="U340" s="1512"/>
      <c r="V340" s="1512"/>
      <c r="W340" s="1638"/>
      <c r="X340" s="1514"/>
      <c r="Y340" s="1514"/>
      <c r="Z340" s="1514"/>
      <c r="AA340" s="1514"/>
      <c r="AB340" s="1514"/>
      <c r="AC340" s="1514"/>
      <c r="AD340" s="1514"/>
      <c r="AE340" s="1514"/>
      <c r="AF340" s="1514"/>
      <c r="AG340" s="1514"/>
      <c r="AH340" s="1514"/>
      <c r="AI340" s="1514"/>
      <c r="AJ340" s="1514"/>
      <c r="AK340" s="1514"/>
      <c r="AL340" s="1514"/>
      <c r="AM340" s="1514"/>
      <c r="AN340" s="1514"/>
      <c r="AO340" s="1514"/>
      <c r="AP340" s="1514"/>
      <c r="AQ340" s="1514"/>
      <c r="AR340" s="1514"/>
      <c r="AS340" s="1514"/>
    </row>
    <row r="341" spans="1:45" s="51" customFormat="1" x14ac:dyDescent="0.2">
      <c r="A341" s="1514"/>
      <c r="B341" s="1640"/>
      <c r="C341" s="1517"/>
      <c r="D341" s="1516"/>
      <c r="E341" s="1525"/>
      <c r="F341" s="1510"/>
      <c r="G341" s="1510"/>
      <c r="H341" s="1510"/>
      <c r="I341" s="1512"/>
      <c r="J341" s="1512"/>
      <c r="K341" s="1635" t="str">
        <f t="shared" si="24"/>
        <v/>
      </c>
      <c r="L341" s="1633"/>
      <c r="M341" s="1512"/>
      <c r="N341" s="1513" t="str">
        <f t="shared" si="25"/>
        <v/>
      </c>
      <c r="O341" s="1682" t="str">
        <f t="shared" si="26"/>
        <v/>
      </c>
      <c r="P341" s="1512"/>
      <c r="Q341" s="1513" t="str">
        <f t="shared" si="27"/>
        <v/>
      </c>
      <c r="R341" s="1683" t="str">
        <f t="shared" si="28"/>
        <v/>
      </c>
      <c r="S341" s="1512"/>
      <c r="T341" s="1513" t="str">
        <f t="shared" si="29"/>
        <v/>
      </c>
      <c r="U341" s="1512"/>
      <c r="V341" s="1512"/>
      <c r="W341" s="1638"/>
      <c r="X341" s="1514"/>
      <c r="Y341" s="1514"/>
      <c r="Z341" s="1514"/>
      <c r="AA341" s="1514"/>
      <c r="AB341" s="1514"/>
      <c r="AC341" s="1514"/>
      <c r="AD341" s="1514"/>
      <c r="AE341" s="1514"/>
      <c r="AF341" s="1514"/>
      <c r="AG341" s="1514"/>
      <c r="AH341" s="1514"/>
      <c r="AI341" s="1514"/>
      <c r="AJ341" s="1514"/>
      <c r="AK341" s="1514"/>
      <c r="AL341" s="1514"/>
      <c r="AM341" s="1514"/>
      <c r="AN341" s="1514"/>
      <c r="AO341" s="1514"/>
      <c r="AP341" s="1514"/>
      <c r="AQ341" s="1514"/>
      <c r="AR341" s="1514"/>
      <c r="AS341" s="1514"/>
    </row>
    <row r="342" spans="1:45" s="51" customFormat="1" x14ac:dyDescent="0.2">
      <c r="A342" s="1514"/>
      <c r="B342" s="1640"/>
      <c r="C342" s="1517"/>
      <c r="D342" s="1516"/>
      <c r="E342" s="1525"/>
      <c r="F342" s="1510"/>
      <c r="G342" s="1510"/>
      <c r="H342" s="1510"/>
      <c r="I342" s="1512"/>
      <c r="J342" s="1512"/>
      <c r="K342" s="1635" t="str">
        <f t="shared" si="24"/>
        <v/>
      </c>
      <c r="L342" s="1633"/>
      <c r="M342" s="1512"/>
      <c r="N342" s="1513" t="str">
        <f t="shared" si="25"/>
        <v/>
      </c>
      <c r="O342" s="1682" t="str">
        <f t="shared" si="26"/>
        <v/>
      </c>
      <c r="P342" s="1512"/>
      <c r="Q342" s="1513" t="str">
        <f t="shared" si="27"/>
        <v/>
      </c>
      <c r="R342" s="1683" t="str">
        <f t="shared" si="28"/>
        <v/>
      </c>
      <c r="S342" s="1512"/>
      <c r="T342" s="1513" t="str">
        <f t="shared" si="29"/>
        <v/>
      </c>
      <c r="U342" s="1512"/>
      <c r="V342" s="1512"/>
      <c r="W342" s="1638"/>
      <c r="X342" s="1514"/>
      <c r="Y342" s="1514"/>
      <c r="Z342" s="1514"/>
      <c r="AA342" s="1514"/>
      <c r="AB342" s="1514"/>
      <c r="AC342" s="1514"/>
      <c r="AD342" s="1514"/>
      <c r="AE342" s="1514"/>
      <c r="AF342" s="1514"/>
      <c r="AG342" s="1514"/>
      <c r="AH342" s="1514"/>
      <c r="AI342" s="1514"/>
      <c r="AJ342" s="1514"/>
      <c r="AK342" s="1514"/>
      <c r="AL342" s="1514"/>
      <c r="AM342" s="1514"/>
      <c r="AN342" s="1514"/>
      <c r="AO342" s="1514"/>
      <c r="AP342" s="1514"/>
      <c r="AQ342" s="1514"/>
      <c r="AR342" s="1514"/>
      <c r="AS342" s="1514"/>
    </row>
    <row r="343" spans="1:45" s="51" customFormat="1" x14ac:dyDescent="0.2">
      <c r="A343" s="1514"/>
      <c r="B343" s="1640"/>
      <c r="C343" s="1517"/>
      <c r="D343" s="1516"/>
      <c r="E343" s="1525"/>
      <c r="F343" s="1510"/>
      <c r="G343" s="1510"/>
      <c r="H343" s="1510"/>
      <c r="I343" s="1512"/>
      <c r="J343" s="1512"/>
      <c r="K343" s="1635" t="str">
        <f t="shared" si="24"/>
        <v/>
      </c>
      <c r="L343" s="1633"/>
      <c r="M343" s="1512"/>
      <c r="N343" s="1513" t="str">
        <f t="shared" si="25"/>
        <v/>
      </c>
      <c r="O343" s="1682" t="str">
        <f t="shared" si="26"/>
        <v/>
      </c>
      <c r="P343" s="1512"/>
      <c r="Q343" s="1513" t="str">
        <f t="shared" si="27"/>
        <v/>
      </c>
      <c r="R343" s="1683" t="str">
        <f t="shared" si="28"/>
        <v/>
      </c>
      <c r="S343" s="1512"/>
      <c r="T343" s="1513" t="str">
        <f t="shared" si="29"/>
        <v/>
      </c>
      <c r="U343" s="1512"/>
      <c r="V343" s="1512"/>
      <c r="W343" s="1638"/>
      <c r="X343" s="1514"/>
      <c r="Y343" s="1514"/>
      <c r="Z343" s="1514"/>
      <c r="AA343" s="1514"/>
      <c r="AB343" s="1514"/>
      <c r="AC343" s="1514"/>
      <c r="AD343" s="1514"/>
      <c r="AE343" s="1514"/>
      <c r="AF343" s="1514"/>
      <c r="AG343" s="1514"/>
      <c r="AH343" s="1514"/>
      <c r="AI343" s="1514"/>
      <c r="AJ343" s="1514"/>
      <c r="AK343" s="1514"/>
      <c r="AL343" s="1514"/>
      <c r="AM343" s="1514"/>
      <c r="AN343" s="1514"/>
      <c r="AO343" s="1514"/>
      <c r="AP343" s="1514"/>
      <c r="AQ343" s="1514"/>
      <c r="AR343" s="1514"/>
      <c r="AS343" s="1514"/>
    </row>
    <row r="344" spans="1:45" s="51" customFormat="1" x14ac:dyDescent="0.2">
      <c r="A344" s="1514"/>
      <c r="B344" s="1640"/>
      <c r="C344" s="1517"/>
      <c r="D344" s="1516"/>
      <c r="E344" s="1526"/>
      <c r="F344" s="1510"/>
      <c r="G344" s="1510"/>
      <c r="H344" s="1510"/>
      <c r="I344" s="1512"/>
      <c r="J344" s="1512"/>
      <c r="K344" s="1635" t="str">
        <f t="shared" si="24"/>
        <v/>
      </c>
      <c r="L344" s="1633"/>
      <c r="M344" s="1512"/>
      <c r="N344" s="1513" t="str">
        <f t="shared" si="25"/>
        <v/>
      </c>
      <c r="O344" s="1682" t="str">
        <f t="shared" si="26"/>
        <v/>
      </c>
      <c r="P344" s="1512"/>
      <c r="Q344" s="1513" t="str">
        <f t="shared" si="27"/>
        <v/>
      </c>
      <c r="R344" s="1683" t="str">
        <f t="shared" si="28"/>
        <v/>
      </c>
      <c r="S344" s="1512"/>
      <c r="T344" s="1513" t="str">
        <f t="shared" si="29"/>
        <v/>
      </c>
      <c r="U344" s="1512"/>
      <c r="V344" s="1512"/>
      <c r="W344" s="1638"/>
      <c r="X344" s="1514"/>
      <c r="Y344" s="1514"/>
      <c r="Z344" s="1514"/>
      <c r="AA344" s="1514"/>
      <c r="AB344" s="1514"/>
      <c r="AC344" s="1514"/>
      <c r="AD344" s="1514"/>
      <c r="AE344" s="1514"/>
      <c r="AF344" s="1514"/>
      <c r="AG344" s="1514"/>
      <c r="AH344" s="1514"/>
      <c r="AI344" s="1514"/>
      <c r="AJ344" s="1514"/>
      <c r="AK344" s="1514"/>
      <c r="AL344" s="1514"/>
      <c r="AM344" s="1514"/>
      <c r="AN344" s="1514"/>
      <c r="AO344" s="1514"/>
      <c r="AP344" s="1514"/>
      <c r="AQ344" s="1514"/>
      <c r="AR344" s="1514"/>
      <c r="AS344" s="1514"/>
    </row>
    <row r="345" spans="1:45" s="51" customFormat="1" x14ac:dyDescent="0.2">
      <c r="A345" s="1514"/>
      <c r="B345" s="1640"/>
      <c r="C345" s="1517"/>
      <c r="D345" s="1516"/>
      <c r="E345" s="1526"/>
      <c r="F345" s="1510"/>
      <c r="G345" s="1510"/>
      <c r="H345" s="1510"/>
      <c r="I345" s="1512"/>
      <c r="J345" s="1512"/>
      <c r="K345" s="1635" t="str">
        <f t="shared" si="24"/>
        <v/>
      </c>
      <c r="L345" s="1633"/>
      <c r="M345" s="1512"/>
      <c r="N345" s="1513" t="str">
        <f t="shared" si="25"/>
        <v/>
      </c>
      <c r="O345" s="1682" t="str">
        <f t="shared" si="26"/>
        <v/>
      </c>
      <c r="P345" s="1512"/>
      <c r="Q345" s="1513" t="str">
        <f t="shared" si="27"/>
        <v/>
      </c>
      <c r="R345" s="1683" t="str">
        <f t="shared" si="28"/>
        <v/>
      </c>
      <c r="S345" s="1512"/>
      <c r="T345" s="1513" t="str">
        <f t="shared" si="29"/>
        <v/>
      </c>
      <c r="U345" s="1512"/>
      <c r="V345" s="1512"/>
      <c r="W345" s="1638"/>
      <c r="X345" s="1514"/>
      <c r="Y345" s="1514"/>
      <c r="Z345" s="1514"/>
      <c r="AA345" s="1514"/>
      <c r="AB345" s="1514"/>
      <c r="AC345" s="1514"/>
      <c r="AD345" s="1514"/>
      <c r="AE345" s="1514"/>
      <c r="AF345" s="1514"/>
      <c r="AG345" s="1514"/>
      <c r="AH345" s="1514"/>
      <c r="AI345" s="1514"/>
      <c r="AJ345" s="1514"/>
      <c r="AK345" s="1514"/>
      <c r="AL345" s="1514"/>
      <c r="AM345" s="1514"/>
      <c r="AN345" s="1514"/>
      <c r="AO345" s="1514"/>
      <c r="AP345" s="1514"/>
      <c r="AQ345" s="1514"/>
      <c r="AR345" s="1514"/>
      <c r="AS345" s="1514"/>
    </row>
    <row r="346" spans="1:45" s="51" customFormat="1" x14ac:dyDescent="0.2">
      <c r="A346" s="1514"/>
      <c r="B346" s="1640"/>
      <c r="C346" s="1517"/>
      <c r="D346" s="1516"/>
      <c r="E346" s="1526"/>
      <c r="F346" s="1510"/>
      <c r="G346" s="1510"/>
      <c r="H346" s="1510"/>
      <c r="I346" s="1512"/>
      <c r="J346" s="1512"/>
      <c r="K346" s="1635" t="str">
        <f t="shared" ref="K346:K409" si="30">IF(AND(I346=0,J346=0),"",IF(J346&lt;&gt;0,IF(J346&gt;I346,100,J346/I346*100),0))</f>
        <v/>
      </c>
      <c r="L346" s="1633"/>
      <c r="M346" s="1512"/>
      <c r="N346" s="1513" t="str">
        <f t="shared" ref="N346:N409" si="31">IF(AND(L346=0,M346=0),"",IF(M346&lt;&gt;0,IF(M346&gt;L346,100,M346/L346*100),0))</f>
        <v/>
      </c>
      <c r="O346" s="1682" t="str">
        <f t="shared" ref="O346:O409" si="32">IF(L346="","",L346)</f>
        <v/>
      </c>
      <c r="P346" s="1512"/>
      <c r="Q346" s="1513" t="str">
        <f t="shared" ref="Q346:Q409" si="33">IF(O346="","",IF(AND(O346=0,P346=0),0,IF(P346&lt;&gt;0,IF(P346&gt;O346,100,P346/O346*100),0)))</f>
        <v/>
      </c>
      <c r="R346" s="1683" t="str">
        <f t="shared" ref="R346:R409" si="34">IF(P346="","",P346)</f>
        <v/>
      </c>
      <c r="S346" s="1512"/>
      <c r="T346" s="1513" t="str">
        <f t="shared" ref="T346:T409" si="35">IF(R346="","",IF(AND(R346=0,S346=0),0,IF(S346&lt;&gt;0,IF(S346&gt;R346,100,S346/R346*100),0)))</f>
        <v/>
      </c>
      <c r="U346" s="1512"/>
      <c r="V346" s="1512"/>
      <c r="W346" s="1638"/>
      <c r="X346" s="1514"/>
      <c r="Y346" s="1514"/>
      <c r="Z346" s="1514"/>
      <c r="AA346" s="1514"/>
      <c r="AB346" s="1514"/>
      <c r="AC346" s="1514"/>
      <c r="AD346" s="1514"/>
      <c r="AE346" s="1514"/>
      <c r="AF346" s="1514"/>
      <c r="AG346" s="1514"/>
      <c r="AH346" s="1514"/>
      <c r="AI346" s="1514"/>
      <c r="AJ346" s="1514"/>
      <c r="AK346" s="1514"/>
      <c r="AL346" s="1514"/>
      <c r="AM346" s="1514"/>
      <c r="AN346" s="1514"/>
      <c r="AO346" s="1514"/>
      <c r="AP346" s="1514"/>
      <c r="AQ346" s="1514"/>
      <c r="AR346" s="1514"/>
      <c r="AS346" s="1514"/>
    </row>
    <row r="347" spans="1:45" s="51" customFormat="1" x14ac:dyDescent="0.2">
      <c r="A347" s="1514"/>
      <c r="B347" s="1640"/>
      <c r="C347" s="1517"/>
      <c r="D347" s="1516"/>
      <c r="E347" s="1526"/>
      <c r="F347" s="1510"/>
      <c r="G347" s="1510"/>
      <c r="H347" s="1510"/>
      <c r="I347" s="1512"/>
      <c r="J347" s="1512"/>
      <c r="K347" s="1635" t="str">
        <f t="shared" si="30"/>
        <v/>
      </c>
      <c r="L347" s="1633"/>
      <c r="M347" s="1512"/>
      <c r="N347" s="1513" t="str">
        <f t="shared" si="31"/>
        <v/>
      </c>
      <c r="O347" s="1682" t="str">
        <f t="shared" si="32"/>
        <v/>
      </c>
      <c r="P347" s="1512"/>
      <c r="Q347" s="1513" t="str">
        <f t="shared" si="33"/>
        <v/>
      </c>
      <c r="R347" s="1683" t="str">
        <f t="shared" si="34"/>
        <v/>
      </c>
      <c r="S347" s="1512"/>
      <c r="T347" s="1513" t="str">
        <f t="shared" si="35"/>
        <v/>
      </c>
      <c r="U347" s="1512"/>
      <c r="V347" s="1512"/>
      <c r="W347" s="1638"/>
      <c r="X347" s="1514"/>
      <c r="Y347" s="1514"/>
      <c r="Z347" s="1514"/>
      <c r="AA347" s="1514"/>
      <c r="AB347" s="1514"/>
      <c r="AC347" s="1514"/>
      <c r="AD347" s="1514"/>
      <c r="AE347" s="1514"/>
      <c r="AF347" s="1514"/>
      <c r="AG347" s="1514"/>
      <c r="AH347" s="1514"/>
      <c r="AI347" s="1514"/>
      <c r="AJ347" s="1514"/>
      <c r="AK347" s="1514"/>
      <c r="AL347" s="1514"/>
      <c r="AM347" s="1514"/>
      <c r="AN347" s="1514"/>
      <c r="AO347" s="1514"/>
      <c r="AP347" s="1514"/>
      <c r="AQ347" s="1514"/>
      <c r="AR347" s="1514"/>
      <c r="AS347" s="1514"/>
    </row>
    <row r="348" spans="1:45" s="51" customFormat="1" x14ac:dyDescent="0.2">
      <c r="A348" s="1514"/>
      <c r="B348" s="1640"/>
      <c r="C348" s="1517"/>
      <c r="D348" s="1516"/>
      <c r="E348" s="1526"/>
      <c r="F348" s="1510"/>
      <c r="G348" s="1510"/>
      <c r="H348" s="1510"/>
      <c r="I348" s="1512"/>
      <c r="J348" s="1512"/>
      <c r="K348" s="1635" t="str">
        <f t="shared" si="30"/>
        <v/>
      </c>
      <c r="L348" s="1633"/>
      <c r="M348" s="1512"/>
      <c r="N348" s="1513" t="str">
        <f t="shared" si="31"/>
        <v/>
      </c>
      <c r="O348" s="1682" t="str">
        <f t="shared" si="32"/>
        <v/>
      </c>
      <c r="P348" s="1512"/>
      <c r="Q348" s="1513" t="str">
        <f t="shared" si="33"/>
        <v/>
      </c>
      <c r="R348" s="1683" t="str">
        <f t="shared" si="34"/>
        <v/>
      </c>
      <c r="S348" s="1512"/>
      <c r="T348" s="1513" t="str">
        <f t="shared" si="35"/>
        <v/>
      </c>
      <c r="U348" s="1512"/>
      <c r="V348" s="1512"/>
      <c r="W348" s="1638"/>
      <c r="X348" s="1514"/>
      <c r="Y348" s="1514"/>
      <c r="Z348" s="1514"/>
      <c r="AA348" s="1514"/>
      <c r="AB348" s="1514"/>
      <c r="AC348" s="1514"/>
      <c r="AD348" s="1514"/>
      <c r="AE348" s="1514"/>
      <c r="AF348" s="1514"/>
      <c r="AG348" s="1514"/>
      <c r="AH348" s="1514"/>
      <c r="AI348" s="1514"/>
      <c r="AJ348" s="1514"/>
      <c r="AK348" s="1514"/>
      <c r="AL348" s="1514"/>
      <c r="AM348" s="1514"/>
      <c r="AN348" s="1514"/>
      <c r="AO348" s="1514"/>
      <c r="AP348" s="1514"/>
      <c r="AQ348" s="1514"/>
      <c r="AR348" s="1514"/>
      <c r="AS348" s="1514"/>
    </row>
    <row r="349" spans="1:45" s="51" customFormat="1" x14ac:dyDescent="0.2">
      <c r="A349" s="1514"/>
      <c r="B349" s="1640"/>
      <c r="C349" s="1517"/>
      <c r="D349" s="1516"/>
      <c r="E349" s="1526"/>
      <c r="F349" s="1510"/>
      <c r="G349" s="1510"/>
      <c r="H349" s="1510"/>
      <c r="I349" s="1512"/>
      <c r="J349" s="1512"/>
      <c r="K349" s="1635" t="str">
        <f t="shared" si="30"/>
        <v/>
      </c>
      <c r="L349" s="1633"/>
      <c r="M349" s="1512"/>
      <c r="N349" s="1513" t="str">
        <f t="shared" si="31"/>
        <v/>
      </c>
      <c r="O349" s="1682" t="str">
        <f t="shared" si="32"/>
        <v/>
      </c>
      <c r="P349" s="1512"/>
      <c r="Q349" s="1513" t="str">
        <f t="shared" si="33"/>
        <v/>
      </c>
      <c r="R349" s="1683" t="str">
        <f t="shared" si="34"/>
        <v/>
      </c>
      <c r="S349" s="1512"/>
      <c r="T349" s="1513" t="str">
        <f t="shared" si="35"/>
        <v/>
      </c>
      <c r="U349" s="1512"/>
      <c r="V349" s="1512"/>
      <c r="W349" s="1638"/>
      <c r="X349" s="1514"/>
      <c r="Y349" s="1514"/>
      <c r="Z349" s="1514"/>
      <c r="AA349" s="1514"/>
      <c r="AB349" s="1514"/>
      <c r="AC349" s="1514"/>
      <c r="AD349" s="1514"/>
      <c r="AE349" s="1514"/>
      <c r="AF349" s="1514"/>
      <c r="AG349" s="1514"/>
      <c r="AH349" s="1514"/>
      <c r="AI349" s="1514"/>
      <c r="AJ349" s="1514"/>
      <c r="AK349" s="1514"/>
      <c r="AL349" s="1514"/>
      <c r="AM349" s="1514"/>
      <c r="AN349" s="1514"/>
      <c r="AO349" s="1514"/>
      <c r="AP349" s="1514"/>
      <c r="AQ349" s="1514"/>
      <c r="AR349" s="1514"/>
      <c r="AS349" s="1514"/>
    </row>
    <row r="350" spans="1:45" s="51" customFormat="1" x14ac:dyDescent="0.2">
      <c r="A350" s="1514"/>
      <c r="B350" s="1640"/>
      <c r="C350" s="1517"/>
      <c r="D350" s="1516"/>
      <c r="E350" s="1527"/>
      <c r="F350" s="1510"/>
      <c r="G350" s="1510"/>
      <c r="H350" s="1510"/>
      <c r="I350" s="1528"/>
      <c r="J350" s="1528"/>
      <c r="K350" s="1635" t="str">
        <f t="shared" si="30"/>
        <v/>
      </c>
      <c r="L350" s="1634"/>
      <c r="M350" s="1528"/>
      <c r="N350" s="1513" t="str">
        <f t="shared" si="31"/>
        <v/>
      </c>
      <c r="O350" s="1682" t="str">
        <f t="shared" si="32"/>
        <v/>
      </c>
      <c r="P350" s="1528"/>
      <c r="Q350" s="1513" t="str">
        <f t="shared" si="33"/>
        <v/>
      </c>
      <c r="R350" s="1683" t="str">
        <f t="shared" si="34"/>
        <v/>
      </c>
      <c r="S350" s="1536"/>
      <c r="T350" s="1513" t="str">
        <f t="shared" si="35"/>
        <v/>
      </c>
      <c r="U350" s="1512"/>
      <c r="V350" s="1512"/>
      <c r="W350" s="1638"/>
      <c r="X350" s="1514"/>
      <c r="Y350" s="1514"/>
      <c r="Z350" s="1514"/>
      <c r="AA350" s="1514"/>
      <c r="AB350" s="1514"/>
      <c r="AC350" s="1514"/>
      <c r="AD350" s="1514"/>
      <c r="AE350" s="1514"/>
      <c r="AF350" s="1514"/>
      <c r="AG350" s="1514"/>
      <c r="AH350" s="1514"/>
      <c r="AI350" s="1514"/>
      <c r="AJ350" s="1514"/>
      <c r="AK350" s="1514"/>
      <c r="AL350" s="1514"/>
      <c r="AM350" s="1514"/>
      <c r="AN350" s="1514"/>
      <c r="AO350" s="1514"/>
      <c r="AP350" s="1514"/>
      <c r="AQ350" s="1514"/>
      <c r="AR350" s="1514"/>
      <c r="AS350" s="1514"/>
    </row>
    <row r="351" spans="1:45" s="51" customFormat="1" x14ac:dyDescent="0.2">
      <c r="A351" s="1514"/>
      <c r="B351" s="1640"/>
      <c r="C351" s="1517"/>
      <c r="D351" s="1516"/>
      <c r="E351" s="1526"/>
      <c r="F351" s="1510"/>
      <c r="G351" s="1510"/>
      <c r="H351" s="1510"/>
      <c r="I351" s="1512"/>
      <c r="J351" s="1512"/>
      <c r="K351" s="1635" t="str">
        <f t="shared" si="30"/>
        <v/>
      </c>
      <c r="L351" s="1633"/>
      <c r="M351" s="1512"/>
      <c r="N351" s="1513" t="str">
        <f t="shared" si="31"/>
        <v/>
      </c>
      <c r="O351" s="1682" t="str">
        <f t="shared" si="32"/>
        <v/>
      </c>
      <c r="P351" s="1512"/>
      <c r="Q351" s="1513" t="str">
        <f t="shared" si="33"/>
        <v/>
      </c>
      <c r="R351" s="1683" t="str">
        <f t="shared" si="34"/>
        <v/>
      </c>
      <c r="S351" s="1512"/>
      <c r="T351" s="1513" t="str">
        <f t="shared" si="35"/>
        <v/>
      </c>
      <c r="U351" s="1512"/>
      <c r="V351" s="1512"/>
      <c r="W351" s="1638"/>
      <c r="X351" s="1514"/>
      <c r="Y351" s="1514"/>
      <c r="Z351" s="1514"/>
      <c r="AA351" s="1514"/>
      <c r="AB351" s="1514"/>
      <c r="AC351" s="1514"/>
      <c r="AD351" s="1514"/>
      <c r="AE351" s="1514"/>
      <c r="AF351" s="1514"/>
      <c r="AG351" s="1514"/>
      <c r="AH351" s="1514"/>
      <c r="AI351" s="1514"/>
      <c r="AJ351" s="1514"/>
      <c r="AK351" s="1514"/>
      <c r="AL351" s="1514"/>
      <c r="AM351" s="1514"/>
      <c r="AN351" s="1514"/>
      <c r="AO351" s="1514"/>
      <c r="AP351" s="1514"/>
      <c r="AQ351" s="1514"/>
      <c r="AR351" s="1514"/>
      <c r="AS351" s="1514"/>
    </row>
    <row r="352" spans="1:45" s="51" customFormat="1" x14ac:dyDescent="0.2">
      <c r="A352" s="1514"/>
      <c r="B352" s="1640"/>
      <c r="C352" s="1517"/>
      <c r="D352" s="1516"/>
      <c r="E352" s="1526"/>
      <c r="F352" s="1510"/>
      <c r="G352" s="1510"/>
      <c r="H352" s="1510"/>
      <c r="I352" s="1512"/>
      <c r="J352" s="1512"/>
      <c r="K352" s="1635" t="str">
        <f t="shared" si="30"/>
        <v/>
      </c>
      <c r="L352" s="1633"/>
      <c r="M352" s="1512"/>
      <c r="N352" s="1513" t="str">
        <f t="shared" si="31"/>
        <v/>
      </c>
      <c r="O352" s="1682" t="str">
        <f t="shared" si="32"/>
        <v/>
      </c>
      <c r="P352" s="1512"/>
      <c r="Q352" s="1513" t="str">
        <f t="shared" si="33"/>
        <v/>
      </c>
      <c r="R352" s="1683" t="str">
        <f t="shared" si="34"/>
        <v/>
      </c>
      <c r="S352" s="1512"/>
      <c r="T352" s="1513" t="str">
        <f t="shared" si="35"/>
        <v/>
      </c>
      <c r="U352" s="1512"/>
      <c r="V352" s="1512"/>
      <c r="W352" s="1638"/>
      <c r="X352" s="1514"/>
      <c r="Y352" s="1514"/>
      <c r="Z352" s="1514"/>
      <c r="AA352" s="1514"/>
      <c r="AB352" s="1514"/>
      <c r="AC352" s="1514"/>
      <c r="AD352" s="1514"/>
      <c r="AE352" s="1514"/>
      <c r="AF352" s="1514"/>
      <c r="AG352" s="1514"/>
      <c r="AH352" s="1514"/>
      <c r="AI352" s="1514"/>
      <c r="AJ352" s="1514"/>
      <c r="AK352" s="1514"/>
      <c r="AL352" s="1514"/>
      <c r="AM352" s="1514"/>
      <c r="AN352" s="1514"/>
      <c r="AO352" s="1514"/>
      <c r="AP352" s="1514"/>
      <c r="AQ352" s="1514"/>
      <c r="AR352" s="1514"/>
      <c r="AS352" s="1514"/>
    </row>
    <row r="353" spans="1:45" s="51" customFormat="1" x14ac:dyDescent="0.2">
      <c r="A353" s="1514"/>
      <c r="B353" s="1640"/>
      <c r="C353" s="1517"/>
      <c r="D353" s="1516"/>
      <c r="E353" s="1526"/>
      <c r="F353" s="1510"/>
      <c r="G353" s="1510"/>
      <c r="H353" s="1510"/>
      <c r="I353" s="1512"/>
      <c r="J353" s="1512"/>
      <c r="K353" s="1635" t="str">
        <f t="shared" si="30"/>
        <v/>
      </c>
      <c r="L353" s="1633"/>
      <c r="M353" s="1512"/>
      <c r="N353" s="1513" t="str">
        <f t="shared" si="31"/>
        <v/>
      </c>
      <c r="O353" s="1682" t="str">
        <f t="shared" si="32"/>
        <v/>
      </c>
      <c r="P353" s="1512"/>
      <c r="Q353" s="1513" t="str">
        <f t="shared" si="33"/>
        <v/>
      </c>
      <c r="R353" s="1683" t="str">
        <f t="shared" si="34"/>
        <v/>
      </c>
      <c r="S353" s="1512"/>
      <c r="T353" s="1513" t="str">
        <f t="shared" si="35"/>
        <v/>
      </c>
      <c r="U353" s="1512"/>
      <c r="V353" s="1512"/>
      <c r="W353" s="1638"/>
      <c r="X353" s="1514"/>
      <c r="Y353" s="1514"/>
      <c r="Z353" s="1514"/>
      <c r="AA353" s="1514"/>
      <c r="AB353" s="1514"/>
      <c r="AC353" s="1514"/>
      <c r="AD353" s="1514"/>
      <c r="AE353" s="1514"/>
      <c r="AF353" s="1514"/>
      <c r="AG353" s="1514"/>
      <c r="AH353" s="1514"/>
      <c r="AI353" s="1514"/>
      <c r="AJ353" s="1514"/>
      <c r="AK353" s="1514"/>
      <c r="AL353" s="1514"/>
      <c r="AM353" s="1514"/>
      <c r="AN353" s="1514"/>
      <c r="AO353" s="1514"/>
      <c r="AP353" s="1514"/>
      <c r="AQ353" s="1514"/>
      <c r="AR353" s="1514"/>
      <c r="AS353" s="1514"/>
    </row>
    <row r="354" spans="1:45" s="51" customFormat="1" x14ac:dyDescent="0.2">
      <c r="A354" s="1514"/>
      <c r="B354" s="1640"/>
      <c r="C354" s="1517"/>
      <c r="D354" s="1516"/>
      <c r="E354" s="1526"/>
      <c r="F354" s="1510"/>
      <c r="G354" s="1510"/>
      <c r="H354" s="1510"/>
      <c r="I354" s="1512"/>
      <c r="J354" s="1512"/>
      <c r="K354" s="1635" t="str">
        <f t="shared" si="30"/>
        <v/>
      </c>
      <c r="L354" s="1633"/>
      <c r="M354" s="1512"/>
      <c r="N354" s="1513" t="str">
        <f t="shared" si="31"/>
        <v/>
      </c>
      <c r="O354" s="1682" t="str">
        <f t="shared" si="32"/>
        <v/>
      </c>
      <c r="P354" s="1512"/>
      <c r="Q354" s="1513" t="str">
        <f t="shared" si="33"/>
        <v/>
      </c>
      <c r="R354" s="1683" t="str">
        <f t="shared" si="34"/>
        <v/>
      </c>
      <c r="S354" s="1512"/>
      <c r="T354" s="1513" t="str">
        <f t="shared" si="35"/>
        <v/>
      </c>
      <c r="U354" s="1512"/>
      <c r="V354" s="1512"/>
      <c r="W354" s="1638"/>
      <c r="X354" s="1514"/>
      <c r="Y354" s="1514"/>
      <c r="Z354" s="1514"/>
      <c r="AA354" s="1514"/>
      <c r="AB354" s="1514"/>
      <c r="AC354" s="1514"/>
      <c r="AD354" s="1514"/>
      <c r="AE354" s="1514"/>
      <c r="AF354" s="1514"/>
      <c r="AG354" s="1514"/>
      <c r="AH354" s="1514"/>
      <c r="AI354" s="1514"/>
      <c r="AJ354" s="1514"/>
      <c r="AK354" s="1514"/>
      <c r="AL354" s="1514"/>
      <c r="AM354" s="1514"/>
      <c r="AN354" s="1514"/>
      <c r="AO354" s="1514"/>
      <c r="AP354" s="1514"/>
      <c r="AQ354" s="1514"/>
      <c r="AR354" s="1514"/>
      <c r="AS354" s="1514"/>
    </row>
    <row r="355" spans="1:45" s="51" customFormat="1" x14ac:dyDescent="0.2">
      <c r="A355" s="1514"/>
      <c r="B355" s="1640"/>
      <c r="C355" s="1517"/>
      <c r="D355" s="1516"/>
      <c r="E355" s="1526"/>
      <c r="F355" s="1510"/>
      <c r="G355" s="1510"/>
      <c r="H355" s="1510"/>
      <c r="I355" s="1512"/>
      <c r="J355" s="1512"/>
      <c r="K355" s="1635" t="str">
        <f t="shared" si="30"/>
        <v/>
      </c>
      <c r="L355" s="1633"/>
      <c r="M355" s="1512"/>
      <c r="N355" s="1513" t="str">
        <f t="shared" si="31"/>
        <v/>
      </c>
      <c r="O355" s="1682" t="str">
        <f t="shared" si="32"/>
        <v/>
      </c>
      <c r="P355" s="1512"/>
      <c r="Q355" s="1513" t="str">
        <f t="shared" si="33"/>
        <v/>
      </c>
      <c r="R355" s="1683" t="str">
        <f t="shared" si="34"/>
        <v/>
      </c>
      <c r="S355" s="1512"/>
      <c r="T355" s="1513" t="str">
        <f t="shared" si="35"/>
        <v/>
      </c>
      <c r="U355" s="1512"/>
      <c r="V355" s="1512"/>
      <c r="W355" s="1638"/>
      <c r="X355" s="1514"/>
      <c r="Y355" s="1514"/>
      <c r="Z355" s="1514"/>
      <c r="AA355" s="1514"/>
      <c r="AB355" s="1514"/>
      <c r="AC355" s="1514"/>
      <c r="AD355" s="1514"/>
      <c r="AE355" s="1514"/>
      <c r="AF355" s="1514"/>
      <c r="AG355" s="1514"/>
      <c r="AH355" s="1514"/>
      <c r="AI355" s="1514"/>
      <c r="AJ355" s="1514"/>
      <c r="AK355" s="1514"/>
      <c r="AL355" s="1514"/>
      <c r="AM355" s="1514"/>
      <c r="AN355" s="1514"/>
      <c r="AO355" s="1514"/>
      <c r="AP355" s="1514"/>
      <c r="AQ355" s="1514"/>
      <c r="AR355" s="1514"/>
      <c r="AS355" s="1514"/>
    </row>
    <row r="356" spans="1:45" s="51" customFormat="1" x14ac:dyDescent="0.2">
      <c r="A356" s="1514"/>
      <c r="B356" s="1640"/>
      <c r="C356" s="1517"/>
      <c r="D356" s="1516"/>
      <c r="E356" s="1526"/>
      <c r="F356" s="1510"/>
      <c r="G356" s="1510"/>
      <c r="H356" s="1510"/>
      <c r="I356" s="1512"/>
      <c r="J356" s="1512"/>
      <c r="K356" s="1635" t="str">
        <f t="shared" si="30"/>
        <v/>
      </c>
      <c r="L356" s="1633"/>
      <c r="M356" s="1512"/>
      <c r="N356" s="1513" t="str">
        <f t="shared" si="31"/>
        <v/>
      </c>
      <c r="O356" s="1682" t="str">
        <f t="shared" si="32"/>
        <v/>
      </c>
      <c r="P356" s="1512"/>
      <c r="Q356" s="1513" t="str">
        <f t="shared" si="33"/>
        <v/>
      </c>
      <c r="R356" s="1683" t="str">
        <f t="shared" si="34"/>
        <v/>
      </c>
      <c r="S356" s="1512"/>
      <c r="T356" s="1513" t="str">
        <f t="shared" si="35"/>
        <v/>
      </c>
      <c r="U356" s="1512"/>
      <c r="V356" s="1512"/>
      <c r="W356" s="1638"/>
      <c r="X356" s="1514"/>
      <c r="Y356" s="1514"/>
      <c r="Z356" s="1514"/>
      <c r="AA356" s="1514"/>
      <c r="AB356" s="1514"/>
      <c r="AC356" s="1514"/>
      <c r="AD356" s="1514"/>
      <c r="AE356" s="1514"/>
      <c r="AF356" s="1514"/>
      <c r="AG356" s="1514"/>
      <c r="AH356" s="1514"/>
      <c r="AI356" s="1514"/>
      <c r="AJ356" s="1514"/>
      <c r="AK356" s="1514"/>
      <c r="AL356" s="1514"/>
      <c r="AM356" s="1514"/>
      <c r="AN356" s="1514"/>
      <c r="AO356" s="1514"/>
      <c r="AP356" s="1514"/>
      <c r="AQ356" s="1514"/>
      <c r="AR356" s="1514"/>
      <c r="AS356" s="1514"/>
    </row>
    <row r="357" spans="1:45" s="51" customFormat="1" x14ac:dyDescent="0.2">
      <c r="A357" s="1514"/>
      <c r="B357" s="1640"/>
      <c r="C357" s="1517"/>
      <c r="D357" s="1516"/>
      <c r="E357" s="1526"/>
      <c r="F357" s="1510"/>
      <c r="G357" s="1510"/>
      <c r="H357" s="1510"/>
      <c r="I357" s="1512"/>
      <c r="J357" s="1512"/>
      <c r="K357" s="1635" t="str">
        <f t="shared" si="30"/>
        <v/>
      </c>
      <c r="L357" s="1633"/>
      <c r="M357" s="1512"/>
      <c r="N357" s="1513" t="str">
        <f t="shared" si="31"/>
        <v/>
      </c>
      <c r="O357" s="1682" t="str">
        <f t="shared" si="32"/>
        <v/>
      </c>
      <c r="P357" s="1512"/>
      <c r="Q357" s="1513" t="str">
        <f t="shared" si="33"/>
        <v/>
      </c>
      <c r="R357" s="1683" t="str">
        <f t="shared" si="34"/>
        <v/>
      </c>
      <c r="S357" s="1512"/>
      <c r="T357" s="1513" t="str">
        <f t="shared" si="35"/>
        <v/>
      </c>
      <c r="U357" s="1512"/>
      <c r="V357" s="1512"/>
      <c r="W357" s="1638"/>
      <c r="X357" s="1514"/>
      <c r="Y357" s="1514"/>
      <c r="Z357" s="1514"/>
      <c r="AA357" s="1514"/>
      <c r="AB357" s="1514"/>
      <c r="AC357" s="1514"/>
      <c r="AD357" s="1514"/>
      <c r="AE357" s="1514"/>
      <c r="AF357" s="1514"/>
      <c r="AG357" s="1514"/>
      <c r="AH357" s="1514"/>
      <c r="AI357" s="1514"/>
      <c r="AJ357" s="1514"/>
      <c r="AK357" s="1514"/>
      <c r="AL357" s="1514"/>
      <c r="AM357" s="1514"/>
      <c r="AN357" s="1514"/>
      <c r="AO357" s="1514"/>
      <c r="AP357" s="1514"/>
      <c r="AQ357" s="1514"/>
      <c r="AR357" s="1514"/>
      <c r="AS357" s="1514"/>
    </row>
    <row r="358" spans="1:45" s="51" customFormat="1" x14ac:dyDescent="0.2">
      <c r="A358" s="1514"/>
      <c r="B358" s="1640"/>
      <c r="C358" s="1517"/>
      <c r="D358" s="1516"/>
      <c r="E358" s="1526"/>
      <c r="F358" s="1510"/>
      <c r="G358" s="1510"/>
      <c r="H358" s="1510"/>
      <c r="I358" s="1512"/>
      <c r="J358" s="1512"/>
      <c r="K358" s="1635" t="str">
        <f t="shared" si="30"/>
        <v/>
      </c>
      <c r="L358" s="1633"/>
      <c r="M358" s="1512"/>
      <c r="N358" s="1513" t="str">
        <f t="shared" si="31"/>
        <v/>
      </c>
      <c r="O358" s="1682" t="str">
        <f t="shared" si="32"/>
        <v/>
      </c>
      <c r="P358" s="1512"/>
      <c r="Q358" s="1513" t="str">
        <f t="shared" si="33"/>
        <v/>
      </c>
      <c r="R358" s="1683" t="str">
        <f t="shared" si="34"/>
        <v/>
      </c>
      <c r="S358" s="1512"/>
      <c r="T358" s="1513" t="str">
        <f t="shared" si="35"/>
        <v/>
      </c>
      <c r="U358" s="1512"/>
      <c r="V358" s="1512"/>
      <c r="W358" s="1638"/>
      <c r="X358" s="1514"/>
      <c r="Y358" s="1514"/>
      <c r="Z358" s="1514"/>
      <c r="AA358" s="1514"/>
      <c r="AB358" s="1514"/>
      <c r="AC358" s="1514"/>
      <c r="AD358" s="1514"/>
      <c r="AE358" s="1514"/>
      <c r="AF358" s="1514"/>
      <c r="AG358" s="1514"/>
      <c r="AH358" s="1514"/>
      <c r="AI358" s="1514"/>
      <c r="AJ358" s="1514"/>
      <c r="AK358" s="1514"/>
      <c r="AL358" s="1514"/>
      <c r="AM358" s="1514"/>
      <c r="AN358" s="1514"/>
      <c r="AO358" s="1514"/>
      <c r="AP358" s="1514"/>
      <c r="AQ358" s="1514"/>
      <c r="AR358" s="1514"/>
      <c r="AS358" s="1514"/>
    </row>
    <row r="359" spans="1:45" s="51" customFormat="1" x14ac:dyDescent="0.2">
      <c r="A359" s="1514"/>
      <c r="B359" s="1640"/>
      <c r="C359" s="1517"/>
      <c r="D359" s="1516"/>
      <c r="E359" s="1526"/>
      <c r="F359" s="1510"/>
      <c r="G359" s="1510"/>
      <c r="H359" s="1510"/>
      <c r="I359" s="1512"/>
      <c r="J359" s="1512"/>
      <c r="K359" s="1635" t="str">
        <f t="shared" si="30"/>
        <v/>
      </c>
      <c r="L359" s="1633"/>
      <c r="M359" s="1512"/>
      <c r="N359" s="1513" t="str">
        <f t="shared" si="31"/>
        <v/>
      </c>
      <c r="O359" s="1682" t="str">
        <f t="shared" si="32"/>
        <v/>
      </c>
      <c r="P359" s="1512"/>
      <c r="Q359" s="1513" t="str">
        <f t="shared" si="33"/>
        <v/>
      </c>
      <c r="R359" s="1683" t="str">
        <f t="shared" si="34"/>
        <v/>
      </c>
      <c r="S359" s="1512"/>
      <c r="T359" s="1513" t="str">
        <f t="shared" si="35"/>
        <v/>
      </c>
      <c r="U359" s="1512"/>
      <c r="V359" s="1512"/>
      <c r="W359" s="1638"/>
      <c r="X359" s="1514"/>
      <c r="Y359" s="1514"/>
      <c r="Z359" s="1514"/>
      <c r="AA359" s="1514"/>
      <c r="AB359" s="1514"/>
      <c r="AC359" s="1514"/>
      <c r="AD359" s="1514"/>
      <c r="AE359" s="1514"/>
      <c r="AF359" s="1514"/>
      <c r="AG359" s="1514"/>
      <c r="AH359" s="1514"/>
      <c r="AI359" s="1514"/>
      <c r="AJ359" s="1514"/>
      <c r="AK359" s="1514"/>
      <c r="AL359" s="1514"/>
      <c r="AM359" s="1514"/>
      <c r="AN359" s="1514"/>
      <c r="AO359" s="1514"/>
      <c r="AP359" s="1514"/>
      <c r="AQ359" s="1514"/>
      <c r="AR359" s="1514"/>
      <c r="AS359" s="1514"/>
    </row>
    <row r="360" spans="1:45" s="51" customFormat="1" x14ac:dyDescent="0.2">
      <c r="A360" s="1514"/>
      <c r="B360" s="1640"/>
      <c r="C360" s="1517"/>
      <c r="D360" s="1516"/>
      <c r="E360" s="1526"/>
      <c r="F360" s="1510"/>
      <c r="G360" s="1510"/>
      <c r="H360" s="1510"/>
      <c r="I360" s="1512"/>
      <c r="J360" s="1512"/>
      <c r="K360" s="1635" t="str">
        <f t="shared" si="30"/>
        <v/>
      </c>
      <c r="L360" s="1633"/>
      <c r="M360" s="1512"/>
      <c r="N360" s="1513" t="str">
        <f t="shared" si="31"/>
        <v/>
      </c>
      <c r="O360" s="1682" t="str">
        <f t="shared" si="32"/>
        <v/>
      </c>
      <c r="P360" s="1512"/>
      <c r="Q360" s="1513" t="str">
        <f t="shared" si="33"/>
        <v/>
      </c>
      <c r="R360" s="1683" t="str">
        <f t="shared" si="34"/>
        <v/>
      </c>
      <c r="S360" s="1512"/>
      <c r="T360" s="1513" t="str">
        <f t="shared" si="35"/>
        <v/>
      </c>
      <c r="U360" s="1512"/>
      <c r="V360" s="1512"/>
      <c r="W360" s="1638"/>
      <c r="X360" s="1514"/>
      <c r="Y360" s="1514"/>
      <c r="Z360" s="1514"/>
      <c r="AA360" s="1514"/>
      <c r="AB360" s="1514"/>
      <c r="AC360" s="1514"/>
      <c r="AD360" s="1514"/>
      <c r="AE360" s="1514"/>
      <c r="AF360" s="1514"/>
      <c r="AG360" s="1514"/>
      <c r="AH360" s="1514"/>
      <c r="AI360" s="1514"/>
      <c r="AJ360" s="1514"/>
      <c r="AK360" s="1514"/>
      <c r="AL360" s="1514"/>
      <c r="AM360" s="1514"/>
      <c r="AN360" s="1514"/>
      <c r="AO360" s="1514"/>
      <c r="AP360" s="1514"/>
      <c r="AQ360" s="1514"/>
      <c r="AR360" s="1514"/>
      <c r="AS360" s="1514"/>
    </row>
    <row r="361" spans="1:45" s="51" customFormat="1" x14ac:dyDescent="0.2">
      <c r="A361" s="1514"/>
      <c r="B361" s="1640"/>
      <c r="C361" s="1517"/>
      <c r="D361" s="1516"/>
      <c r="E361" s="1518"/>
      <c r="F361" s="1510"/>
      <c r="G361" s="1510"/>
      <c r="H361" s="1510"/>
      <c r="I361" s="1512"/>
      <c r="J361" s="1512"/>
      <c r="K361" s="1635" t="str">
        <f t="shared" si="30"/>
        <v/>
      </c>
      <c r="L361" s="1633"/>
      <c r="M361" s="1512"/>
      <c r="N361" s="1513" t="str">
        <f t="shared" si="31"/>
        <v/>
      </c>
      <c r="O361" s="1682" t="str">
        <f t="shared" si="32"/>
        <v/>
      </c>
      <c r="P361" s="1512"/>
      <c r="Q361" s="1513" t="str">
        <f t="shared" si="33"/>
        <v/>
      </c>
      <c r="R361" s="1683" t="str">
        <f t="shared" si="34"/>
        <v/>
      </c>
      <c r="S361" s="1512"/>
      <c r="T361" s="1513" t="str">
        <f t="shared" si="35"/>
        <v/>
      </c>
      <c r="U361" s="1512"/>
      <c r="V361" s="1512"/>
      <c r="W361" s="1638"/>
      <c r="X361" s="1514"/>
      <c r="Y361" s="1514"/>
      <c r="Z361" s="1514"/>
      <c r="AA361" s="1514"/>
      <c r="AB361" s="1514"/>
      <c r="AC361" s="1514"/>
      <c r="AD361" s="1514"/>
      <c r="AE361" s="1514"/>
      <c r="AF361" s="1514"/>
      <c r="AG361" s="1514"/>
      <c r="AH361" s="1514"/>
      <c r="AI361" s="1514"/>
      <c r="AJ361" s="1514"/>
      <c r="AK361" s="1514"/>
      <c r="AL361" s="1514"/>
      <c r="AM361" s="1514"/>
      <c r="AN361" s="1514"/>
      <c r="AO361" s="1514"/>
      <c r="AP361" s="1514"/>
      <c r="AQ361" s="1514"/>
      <c r="AR361" s="1514"/>
      <c r="AS361" s="1514"/>
    </row>
    <row r="362" spans="1:45" s="51" customFormat="1" x14ac:dyDescent="0.2">
      <c r="A362" s="1514"/>
      <c r="B362" s="1640"/>
      <c r="C362" s="1517"/>
      <c r="D362" s="1516"/>
      <c r="E362" s="1518"/>
      <c r="F362" s="1510"/>
      <c r="G362" s="1510"/>
      <c r="H362" s="1510"/>
      <c r="I362" s="1512"/>
      <c r="J362" s="1512"/>
      <c r="K362" s="1635" t="str">
        <f t="shared" si="30"/>
        <v/>
      </c>
      <c r="L362" s="1633"/>
      <c r="M362" s="1512"/>
      <c r="N362" s="1513" t="str">
        <f t="shared" si="31"/>
        <v/>
      </c>
      <c r="O362" s="1682" t="str">
        <f t="shared" si="32"/>
        <v/>
      </c>
      <c r="P362" s="1512"/>
      <c r="Q362" s="1513" t="str">
        <f t="shared" si="33"/>
        <v/>
      </c>
      <c r="R362" s="1683" t="str">
        <f t="shared" si="34"/>
        <v/>
      </c>
      <c r="S362" s="1512"/>
      <c r="T362" s="1513" t="str">
        <f t="shared" si="35"/>
        <v/>
      </c>
      <c r="U362" s="1512"/>
      <c r="V362" s="1512"/>
      <c r="W362" s="1638"/>
      <c r="X362" s="1514"/>
      <c r="Y362" s="1514"/>
      <c r="Z362" s="1514"/>
      <c r="AA362" s="1514"/>
      <c r="AB362" s="1514"/>
      <c r="AC362" s="1514"/>
      <c r="AD362" s="1514"/>
      <c r="AE362" s="1514"/>
      <c r="AF362" s="1514"/>
      <c r="AG362" s="1514"/>
      <c r="AH362" s="1514"/>
      <c r="AI362" s="1514"/>
      <c r="AJ362" s="1514"/>
      <c r="AK362" s="1514"/>
      <c r="AL362" s="1514"/>
      <c r="AM362" s="1514"/>
      <c r="AN362" s="1514"/>
      <c r="AO362" s="1514"/>
      <c r="AP362" s="1514"/>
      <c r="AQ362" s="1514"/>
      <c r="AR362" s="1514"/>
      <c r="AS362" s="1514"/>
    </row>
    <row r="363" spans="1:45" s="51" customFormat="1" x14ac:dyDescent="0.2">
      <c r="A363" s="1514"/>
      <c r="B363" s="1640"/>
      <c r="C363" s="1517"/>
      <c r="D363" s="1516"/>
      <c r="E363" s="1518"/>
      <c r="F363" s="1510"/>
      <c r="G363" s="1510"/>
      <c r="H363" s="1510"/>
      <c r="I363" s="1512"/>
      <c r="J363" s="1512"/>
      <c r="K363" s="1635" t="str">
        <f t="shared" si="30"/>
        <v/>
      </c>
      <c r="L363" s="1633"/>
      <c r="M363" s="1512"/>
      <c r="N363" s="1513" t="str">
        <f t="shared" si="31"/>
        <v/>
      </c>
      <c r="O363" s="1682" t="str">
        <f t="shared" si="32"/>
        <v/>
      </c>
      <c r="P363" s="1512"/>
      <c r="Q363" s="1513" t="str">
        <f t="shared" si="33"/>
        <v/>
      </c>
      <c r="R363" s="1683" t="str">
        <f t="shared" si="34"/>
        <v/>
      </c>
      <c r="S363" s="1512"/>
      <c r="T363" s="1513" t="str">
        <f t="shared" si="35"/>
        <v/>
      </c>
      <c r="U363" s="1512"/>
      <c r="V363" s="1512"/>
      <c r="W363" s="1638"/>
      <c r="X363" s="1514"/>
      <c r="Y363" s="1514"/>
      <c r="Z363" s="1514"/>
      <c r="AA363" s="1514"/>
      <c r="AB363" s="1514"/>
      <c r="AC363" s="1514"/>
      <c r="AD363" s="1514"/>
      <c r="AE363" s="1514"/>
      <c r="AF363" s="1514"/>
      <c r="AG363" s="1514"/>
      <c r="AH363" s="1514"/>
      <c r="AI363" s="1514"/>
      <c r="AJ363" s="1514"/>
      <c r="AK363" s="1514"/>
      <c r="AL363" s="1514"/>
      <c r="AM363" s="1514"/>
      <c r="AN363" s="1514"/>
      <c r="AO363" s="1514"/>
      <c r="AP363" s="1514"/>
      <c r="AQ363" s="1514"/>
      <c r="AR363" s="1514"/>
      <c r="AS363" s="1514"/>
    </row>
    <row r="364" spans="1:45" s="51" customFormat="1" x14ac:dyDescent="0.2">
      <c r="A364" s="1514"/>
      <c r="B364" s="1640"/>
      <c r="C364" s="1517"/>
      <c r="D364" s="1516"/>
      <c r="E364" s="1518"/>
      <c r="F364" s="1510"/>
      <c r="G364" s="1510"/>
      <c r="H364" s="1510"/>
      <c r="I364" s="1512"/>
      <c r="J364" s="1512"/>
      <c r="K364" s="1635" t="str">
        <f t="shared" si="30"/>
        <v/>
      </c>
      <c r="L364" s="1633"/>
      <c r="M364" s="1512"/>
      <c r="N364" s="1513" t="str">
        <f t="shared" si="31"/>
        <v/>
      </c>
      <c r="O364" s="1682" t="str">
        <f t="shared" si="32"/>
        <v/>
      </c>
      <c r="P364" s="1512"/>
      <c r="Q364" s="1513" t="str">
        <f t="shared" si="33"/>
        <v/>
      </c>
      <c r="R364" s="1683" t="str">
        <f t="shared" si="34"/>
        <v/>
      </c>
      <c r="S364" s="1512"/>
      <c r="T364" s="1513" t="str">
        <f t="shared" si="35"/>
        <v/>
      </c>
      <c r="U364" s="1512"/>
      <c r="V364" s="1512"/>
      <c r="W364" s="1638"/>
      <c r="X364" s="1514"/>
      <c r="Y364" s="1514"/>
      <c r="Z364" s="1514"/>
      <c r="AA364" s="1514"/>
      <c r="AB364" s="1514"/>
      <c r="AC364" s="1514"/>
      <c r="AD364" s="1514"/>
      <c r="AE364" s="1514"/>
      <c r="AF364" s="1514"/>
      <c r="AG364" s="1514"/>
      <c r="AH364" s="1514"/>
      <c r="AI364" s="1514"/>
      <c r="AJ364" s="1514"/>
      <c r="AK364" s="1514"/>
      <c r="AL364" s="1514"/>
      <c r="AM364" s="1514"/>
      <c r="AN364" s="1514"/>
      <c r="AO364" s="1514"/>
      <c r="AP364" s="1514"/>
      <c r="AQ364" s="1514"/>
      <c r="AR364" s="1514"/>
      <c r="AS364" s="1514"/>
    </row>
    <row r="365" spans="1:45" s="51" customFormat="1" x14ac:dyDescent="0.2">
      <c r="A365" s="1514"/>
      <c r="B365" s="1640"/>
      <c r="C365" s="1517"/>
      <c r="D365" s="1516"/>
      <c r="E365" s="1518"/>
      <c r="F365" s="1510"/>
      <c r="G365" s="1510"/>
      <c r="H365" s="1510"/>
      <c r="I365" s="1512"/>
      <c r="J365" s="1512"/>
      <c r="K365" s="1635" t="str">
        <f t="shared" si="30"/>
        <v/>
      </c>
      <c r="L365" s="1633"/>
      <c r="M365" s="1512"/>
      <c r="N365" s="1513" t="str">
        <f t="shared" si="31"/>
        <v/>
      </c>
      <c r="O365" s="1682" t="str">
        <f t="shared" si="32"/>
        <v/>
      </c>
      <c r="P365" s="1512"/>
      <c r="Q365" s="1513" t="str">
        <f t="shared" si="33"/>
        <v/>
      </c>
      <c r="R365" s="1683" t="str">
        <f t="shared" si="34"/>
        <v/>
      </c>
      <c r="S365" s="1512"/>
      <c r="T365" s="1513" t="str">
        <f t="shared" si="35"/>
        <v/>
      </c>
      <c r="U365" s="1512"/>
      <c r="V365" s="1512"/>
      <c r="W365" s="1638"/>
      <c r="X365" s="1514"/>
      <c r="Y365" s="1514"/>
      <c r="Z365" s="1514"/>
      <c r="AA365" s="1514"/>
      <c r="AB365" s="1514"/>
      <c r="AC365" s="1514"/>
      <c r="AD365" s="1514"/>
      <c r="AE365" s="1514"/>
      <c r="AF365" s="1514"/>
      <c r="AG365" s="1514"/>
      <c r="AH365" s="1514"/>
      <c r="AI365" s="1514"/>
      <c r="AJ365" s="1514"/>
      <c r="AK365" s="1514"/>
      <c r="AL365" s="1514"/>
      <c r="AM365" s="1514"/>
      <c r="AN365" s="1514"/>
      <c r="AO365" s="1514"/>
      <c r="AP365" s="1514"/>
      <c r="AQ365" s="1514"/>
      <c r="AR365" s="1514"/>
      <c r="AS365" s="1514"/>
    </row>
    <row r="366" spans="1:45" s="955" customFormat="1" x14ac:dyDescent="0.2">
      <c r="A366" s="1514"/>
      <c r="B366" s="1640"/>
      <c r="C366" s="1517"/>
      <c r="D366" s="1516"/>
      <c r="E366" s="1518"/>
      <c r="F366" s="1510"/>
      <c r="G366" s="1510"/>
      <c r="H366" s="1510"/>
      <c r="I366" s="1512"/>
      <c r="J366" s="1512"/>
      <c r="K366" s="1635" t="str">
        <f t="shared" si="30"/>
        <v/>
      </c>
      <c r="L366" s="1633"/>
      <c r="M366" s="1512"/>
      <c r="N366" s="1513" t="str">
        <f t="shared" si="31"/>
        <v/>
      </c>
      <c r="O366" s="1682" t="str">
        <f t="shared" si="32"/>
        <v/>
      </c>
      <c r="P366" s="1512"/>
      <c r="Q366" s="1513" t="str">
        <f t="shared" si="33"/>
        <v/>
      </c>
      <c r="R366" s="1683" t="str">
        <f t="shared" si="34"/>
        <v/>
      </c>
      <c r="S366" s="1512"/>
      <c r="T366" s="1513" t="str">
        <f t="shared" si="35"/>
        <v/>
      </c>
      <c r="U366" s="1512"/>
      <c r="V366" s="1512"/>
      <c r="W366" s="1638"/>
      <c r="X366" s="1514"/>
      <c r="Y366" s="1514"/>
      <c r="Z366" s="1514"/>
      <c r="AA366" s="1514"/>
      <c r="AB366" s="1514"/>
      <c r="AC366" s="1514"/>
      <c r="AD366" s="1514"/>
      <c r="AE366" s="1514"/>
      <c r="AF366" s="1514"/>
      <c r="AG366" s="1514"/>
      <c r="AH366" s="1514"/>
      <c r="AI366" s="1514"/>
      <c r="AJ366" s="1514"/>
      <c r="AK366" s="1514"/>
      <c r="AL366" s="1514"/>
      <c r="AM366" s="1514"/>
      <c r="AN366" s="1514"/>
      <c r="AO366" s="1514"/>
      <c r="AP366" s="1514"/>
      <c r="AQ366" s="1514"/>
      <c r="AR366" s="1514"/>
      <c r="AS366" s="1514"/>
    </row>
    <row r="367" spans="1:45" s="955" customFormat="1" x14ac:dyDescent="0.2">
      <c r="A367" s="1514"/>
      <c r="B367" s="1640"/>
      <c r="C367" s="1517"/>
      <c r="D367" s="1516"/>
      <c r="E367" s="1518"/>
      <c r="F367" s="1510"/>
      <c r="G367" s="1510"/>
      <c r="H367" s="1510"/>
      <c r="I367" s="1512"/>
      <c r="J367" s="1512"/>
      <c r="K367" s="1635" t="str">
        <f t="shared" si="30"/>
        <v/>
      </c>
      <c r="L367" s="1633"/>
      <c r="M367" s="1512"/>
      <c r="N367" s="1513" t="str">
        <f t="shared" si="31"/>
        <v/>
      </c>
      <c r="O367" s="1682" t="str">
        <f t="shared" si="32"/>
        <v/>
      </c>
      <c r="P367" s="1512"/>
      <c r="Q367" s="1513" t="str">
        <f t="shared" si="33"/>
        <v/>
      </c>
      <c r="R367" s="1683" t="str">
        <f t="shared" si="34"/>
        <v/>
      </c>
      <c r="S367" s="1512"/>
      <c r="T367" s="1513" t="str">
        <f t="shared" si="35"/>
        <v/>
      </c>
      <c r="U367" s="1512"/>
      <c r="V367" s="1512"/>
      <c r="W367" s="1638"/>
      <c r="X367" s="1514"/>
      <c r="Y367" s="1514"/>
      <c r="Z367" s="1514"/>
      <c r="AA367" s="1514"/>
      <c r="AB367" s="1514"/>
      <c r="AC367" s="1514"/>
      <c r="AD367" s="1514"/>
      <c r="AE367" s="1514"/>
      <c r="AF367" s="1514"/>
      <c r="AG367" s="1514"/>
      <c r="AH367" s="1514"/>
      <c r="AI367" s="1514"/>
      <c r="AJ367" s="1514"/>
      <c r="AK367" s="1514"/>
      <c r="AL367" s="1514"/>
      <c r="AM367" s="1514"/>
      <c r="AN367" s="1514"/>
      <c r="AO367" s="1514"/>
      <c r="AP367" s="1514"/>
      <c r="AQ367" s="1514"/>
      <c r="AR367" s="1514"/>
      <c r="AS367" s="1514"/>
    </row>
    <row r="368" spans="1:45" s="955" customFormat="1" x14ac:dyDescent="0.2">
      <c r="A368" s="1514"/>
      <c r="B368" s="1640"/>
      <c r="C368" s="1517"/>
      <c r="D368" s="1516"/>
      <c r="E368" s="1518"/>
      <c r="F368" s="1510"/>
      <c r="G368" s="1510"/>
      <c r="H368" s="1510"/>
      <c r="I368" s="1512"/>
      <c r="J368" s="1512"/>
      <c r="K368" s="1635" t="str">
        <f t="shared" si="30"/>
        <v/>
      </c>
      <c r="L368" s="1633"/>
      <c r="M368" s="1512"/>
      <c r="N368" s="1513" t="str">
        <f t="shared" si="31"/>
        <v/>
      </c>
      <c r="O368" s="1682" t="str">
        <f t="shared" si="32"/>
        <v/>
      </c>
      <c r="P368" s="1512"/>
      <c r="Q368" s="1513" t="str">
        <f t="shared" si="33"/>
        <v/>
      </c>
      <c r="R368" s="1683" t="str">
        <f t="shared" si="34"/>
        <v/>
      </c>
      <c r="S368" s="1512"/>
      <c r="T368" s="1513" t="str">
        <f t="shared" si="35"/>
        <v/>
      </c>
      <c r="U368" s="1512"/>
      <c r="V368" s="1512"/>
      <c r="W368" s="1638"/>
      <c r="X368" s="1514"/>
      <c r="Y368" s="1514"/>
      <c r="Z368" s="1514"/>
      <c r="AA368" s="1514"/>
      <c r="AB368" s="1514"/>
      <c r="AC368" s="1514"/>
      <c r="AD368" s="1514"/>
      <c r="AE368" s="1514"/>
      <c r="AF368" s="1514"/>
      <c r="AG368" s="1514"/>
      <c r="AH368" s="1514"/>
      <c r="AI368" s="1514"/>
      <c r="AJ368" s="1514"/>
      <c r="AK368" s="1514"/>
      <c r="AL368" s="1514"/>
      <c r="AM368" s="1514"/>
      <c r="AN368" s="1514"/>
      <c r="AO368" s="1514"/>
      <c r="AP368" s="1514"/>
      <c r="AQ368" s="1514"/>
      <c r="AR368" s="1514"/>
      <c r="AS368" s="1514"/>
    </row>
    <row r="369" spans="1:45" s="955" customFormat="1" x14ac:dyDescent="0.2">
      <c r="A369" s="1514"/>
      <c r="B369" s="1640"/>
      <c r="C369" s="1517"/>
      <c r="D369" s="1516"/>
      <c r="E369" s="1529"/>
      <c r="F369" s="1510"/>
      <c r="G369" s="1510"/>
      <c r="H369" s="1510"/>
      <c r="I369" s="1512"/>
      <c r="J369" s="1512"/>
      <c r="K369" s="1635" t="str">
        <f t="shared" si="30"/>
        <v/>
      </c>
      <c r="L369" s="1633"/>
      <c r="M369" s="1512"/>
      <c r="N369" s="1513" t="str">
        <f t="shared" si="31"/>
        <v/>
      </c>
      <c r="O369" s="1682" t="str">
        <f t="shared" si="32"/>
        <v/>
      </c>
      <c r="P369" s="1512"/>
      <c r="Q369" s="1513" t="str">
        <f t="shared" si="33"/>
        <v/>
      </c>
      <c r="R369" s="1683" t="str">
        <f t="shared" si="34"/>
        <v/>
      </c>
      <c r="S369" s="1512"/>
      <c r="T369" s="1513" t="str">
        <f t="shared" si="35"/>
        <v/>
      </c>
      <c r="U369" s="1512"/>
      <c r="V369" s="1512"/>
      <c r="W369" s="1638"/>
      <c r="X369" s="1514"/>
      <c r="Y369" s="1514"/>
      <c r="Z369" s="1514"/>
      <c r="AA369" s="1514"/>
      <c r="AB369" s="1514"/>
      <c r="AC369" s="1514"/>
      <c r="AD369" s="1514"/>
      <c r="AE369" s="1514"/>
      <c r="AF369" s="1514"/>
      <c r="AG369" s="1514"/>
      <c r="AH369" s="1514"/>
      <c r="AI369" s="1514"/>
      <c r="AJ369" s="1514"/>
      <c r="AK369" s="1514"/>
      <c r="AL369" s="1514"/>
      <c r="AM369" s="1514"/>
      <c r="AN369" s="1514"/>
      <c r="AO369" s="1514"/>
      <c r="AP369" s="1514"/>
      <c r="AQ369" s="1514"/>
      <c r="AR369" s="1514"/>
      <c r="AS369" s="1514"/>
    </row>
    <row r="370" spans="1:45" s="955" customFormat="1" x14ac:dyDescent="0.2">
      <c r="A370" s="1514"/>
      <c r="B370" s="1640"/>
      <c r="C370" s="1517"/>
      <c r="D370" s="1516"/>
      <c r="E370" s="1529"/>
      <c r="F370" s="1510"/>
      <c r="G370" s="1510"/>
      <c r="H370" s="1510"/>
      <c r="I370" s="1512"/>
      <c r="J370" s="1512"/>
      <c r="K370" s="1635" t="str">
        <f t="shared" si="30"/>
        <v/>
      </c>
      <c r="L370" s="1633"/>
      <c r="M370" s="1512"/>
      <c r="N370" s="1513" t="str">
        <f t="shared" si="31"/>
        <v/>
      </c>
      <c r="O370" s="1682" t="str">
        <f t="shared" si="32"/>
        <v/>
      </c>
      <c r="P370" s="1512"/>
      <c r="Q370" s="1513" t="str">
        <f t="shared" si="33"/>
        <v/>
      </c>
      <c r="R370" s="1683" t="str">
        <f t="shared" si="34"/>
        <v/>
      </c>
      <c r="S370" s="1512"/>
      <c r="T370" s="1513" t="str">
        <f t="shared" si="35"/>
        <v/>
      </c>
      <c r="U370" s="1512"/>
      <c r="V370" s="1512"/>
      <c r="W370" s="1638"/>
      <c r="X370" s="1514"/>
      <c r="Y370" s="1514"/>
      <c r="Z370" s="1514"/>
      <c r="AA370" s="1514"/>
      <c r="AB370" s="1514"/>
      <c r="AC370" s="1514"/>
      <c r="AD370" s="1514"/>
      <c r="AE370" s="1514"/>
      <c r="AF370" s="1514"/>
      <c r="AG370" s="1514"/>
      <c r="AH370" s="1514"/>
      <c r="AI370" s="1514"/>
      <c r="AJ370" s="1514"/>
      <c r="AK370" s="1514"/>
      <c r="AL370" s="1514"/>
      <c r="AM370" s="1514"/>
      <c r="AN370" s="1514"/>
      <c r="AO370" s="1514"/>
      <c r="AP370" s="1514"/>
      <c r="AQ370" s="1514"/>
      <c r="AR370" s="1514"/>
      <c r="AS370" s="1514"/>
    </row>
    <row r="371" spans="1:45" s="955" customFormat="1" x14ac:dyDescent="0.2">
      <c r="A371" s="1514"/>
      <c r="B371" s="1640"/>
      <c r="C371" s="1517"/>
      <c r="D371" s="1516"/>
      <c r="E371" s="1529"/>
      <c r="F371" s="1510"/>
      <c r="G371" s="1510"/>
      <c r="H371" s="1510"/>
      <c r="I371" s="1512"/>
      <c r="J371" s="1512"/>
      <c r="K371" s="1635" t="str">
        <f t="shared" si="30"/>
        <v/>
      </c>
      <c r="L371" s="1633"/>
      <c r="M371" s="1512"/>
      <c r="N371" s="1513" t="str">
        <f t="shared" si="31"/>
        <v/>
      </c>
      <c r="O371" s="1682" t="str">
        <f t="shared" si="32"/>
        <v/>
      </c>
      <c r="P371" s="1512"/>
      <c r="Q371" s="1513" t="str">
        <f t="shared" si="33"/>
        <v/>
      </c>
      <c r="R371" s="1683" t="str">
        <f t="shared" si="34"/>
        <v/>
      </c>
      <c r="S371" s="1512"/>
      <c r="T371" s="1513" t="str">
        <f t="shared" si="35"/>
        <v/>
      </c>
      <c r="U371" s="1512"/>
      <c r="V371" s="1512"/>
      <c r="W371" s="1638"/>
      <c r="X371" s="1514"/>
      <c r="Y371" s="1514"/>
      <c r="Z371" s="1514"/>
      <c r="AA371" s="1514"/>
      <c r="AB371" s="1514"/>
      <c r="AC371" s="1514"/>
      <c r="AD371" s="1514"/>
      <c r="AE371" s="1514"/>
      <c r="AF371" s="1514"/>
      <c r="AG371" s="1514"/>
      <c r="AH371" s="1514"/>
      <c r="AI371" s="1514"/>
      <c r="AJ371" s="1514"/>
      <c r="AK371" s="1514"/>
      <c r="AL371" s="1514"/>
      <c r="AM371" s="1514"/>
      <c r="AN371" s="1514"/>
      <c r="AO371" s="1514"/>
      <c r="AP371" s="1514"/>
      <c r="AQ371" s="1514"/>
      <c r="AR371" s="1514"/>
      <c r="AS371" s="1514"/>
    </row>
    <row r="372" spans="1:45" s="955" customFormat="1" x14ac:dyDescent="0.2">
      <c r="A372" s="1514"/>
      <c r="B372" s="1640"/>
      <c r="C372" s="1517"/>
      <c r="D372" s="1516"/>
      <c r="E372" s="1529"/>
      <c r="F372" s="1510"/>
      <c r="G372" s="1510"/>
      <c r="H372" s="1510"/>
      <c r="I372" s="1512"/>
      <c r="J372" s="1512"/>
      <c r="K372" s="1635" t="str">
        <f t="shared" si="30"/>
        <v/>
      </c>
      <c r="L372" s="1633"/>
      <c r="M372" s="1512"/>
      <c r="N372" s="1513" t="str">
        <f t="shared" si="31"/>
        <v/>
      </c>
      <c r="O372" s="1682" t="str">
        <f t="shared" si="32"/>
        <v/>
      </c>
      <c r="P372" s="1512"/>
      <c r="Q372" s="1513" t="str">
        <f t="shared" si="33"/>
        <v/>
      </c>
      <c r="R372" s="1683" t="str">
        <f t="shared" si="34"/>
        <v/>
      </c>
      <c r="S372" s="1512"/>
      <c r="T372" s="1513" t="str">
        <f t="shared" si="35"/>
        <v/>
      </c>
      <c r="U372" s="1512"/>
      <c r="V372" s="1512"/>
      <c r="W372" s="1638"/>
      <c r="X372" s="1514"/>
      <c r="Y372" s="1514"/>
      <c r="Z372" s="1514"/>
      <c r="AA372" s="1514"/>
      <c r="AB372" s="1514"/>
      <c r="AC372" s="1514"/>
      <c r="AD372" s="1514"/>
      <c r="AE372" s="1514"/>
      <c r="AF372" s="1514"/>
      <c r="AG372" s="1514"/>
      <c r="AH372" s="1514"/>
      <c r="AI372" s="1514"/>
      <c r="AJ372" s="1514"/>
      <c r="AK372" s="1514"/>
      <c r="AL372" s="1514"/>
      <c r="AM372" s="1514"/>
      <c r="AN372" s="1514"/>
      <c r="AO372" s="1514"/>
      <c r="AP372" s="1514"/>
      <c r="AQ372" s="1514"/>
      <c r="AR372" s="1514"/>
      <c r="AS372" s="1514"/>
    </row>
    <row r="373" spans="1:45" s="955" customFormat="1" x14ac:dyDescent="0.2">
      <c r="A373" s="1514"/>
      <c r="B373" s="1640"/>
      <c r="C373" s="1517"/>
      <c r="D373" s="1516"/>
      <c r="E373" s="1518"/>
      <c r="F373" s="1510"/>
      <c r="G373" s="1510"/>
      <c r="H373" s="1510"/>
      <c r="I373" s="1512"/>
      <c r="J373" s="1512"/>
      <c r="K373" s="1635" t="str">
        <f t="shared" si="30"/>
        <v/>
      </c>
      <c r="L373" s="1633"/>
      <c r="M373" s="1512"/>
      <c r="N373" s="1513" t="str">
        <f t="shared" si="31"/>
        <v/>
      </c>
      <c r="O373" s="1682" t="str">
        <f t="shared" si="32"/>
        <v/>
      </c>
      <c r="P373" s="1512"/>
      <c r="Q373" s="1513" t="str">
        <f t="shared" si="33"/>
        <v/>
      </c>
      <c r="R373" s="1683" t="str">
        <f t="shared" si="34"/>
        <v/>
      </c>
      <c r="S373" s="1512"/>
      <c r="T373" s="1513" t="str">
        <f t="shared" si="35"/>
        <v/>
      </c>
      <c r="U373" s="1512"/>
      <c r="V373" s="1512"/>
      <c r="W373" s="1638"/>
      <c r="X373" s="1514"/>
      <c r="Y373" s="1514"/>
      <c r="Z373" s="1514"/>
      <c r="AA373" s="1514"/>
      <c r="AB373" s="1514"/>
      <c r="AC373" s="1514"/>
      <c r="AD373" s="1514"/>
      <c r="AE373" s="1514"/>
      <c r="AF373" s="1514"/>
      <c r="AG373" s="1514"/>
      <c r="AH373" s="1514"/>
      <c r="AI373" s="1514"/>
      <c r="AJ373" s="1514"/>
      <c r="AK373" s="1514"/>
      <c r="AL373" s="1514"/>
      <c r="AM373" s="1514"/>
      <c r="AN373" s="1514"/>
      <c r="AO373" s="1514"/>
      <c r="AP373" s="1514"/>
      <c r="AQ373" s="1514"/>
      <c r="AR373" s="1514"/>
      <c r="AS373" s="1514"/>
    </row>
    <row r="374" spans="1:45" s="955" customFormat="1" x14ac:dyDescent="0.2">
      <c r="A374" s="1514"/>
      <c r="B374" s="1640"/>
      <c r="C374" s="1517"/>
      <c r="D374" s="1516"/>
      <c r="E374" s="1518"/>
      <c r="F374" s="1510"/>
      <c r="G374" s="1510"/>
      <c r="H374" s="1510"/>
      <c r="I374" s="1512"/>
      <c r="J374" s="1512"/>
      <c r="K374" s="1635" t="str">
        <f t="shared" si="30"/>
        <v/>
      </c>
      <c r="L374" s="1633"/>
      <c r="M374" s="1512"/>
      <c r="N374" s="1513" t="str">
        <f t="shared" si="31"/>
        <v/>
      </c>
      <c r="O374" s="1682" t="str">
        <f t="shared" si="32"/>
        <v/>
      </c>
      <c r="P374" s="1512"/>
      <c r="Q374" s="1513" t="str">
        <f t="shared" si="33"/>
        <v/>
      </c>
      <c r="R374" s="1683" t="str">
        <f t="shared" si="34"/>
        <v/>
      </c>
      <c r="S374" s="1512"/>
      <c r="T374" s="1513" t="str">
        <f t="shared" si="35"/>
        <v/>
      </c>
      <c r="U374" s="1512"/>
      <c r="V374" s="1512"/>
      <c r="W374" s="1638"/>
      <c r="X374" s="1514"/>
      <c r="Y374" s="1514"/>
      <c r="Z374" s="1514"/>
      <c r="AA374" s="1514"/>
      <c r="AB374" s="1514"/>
      <c r="AC374" s="1514"/>
      <c r="AD374" s="1514"/>
      <c r="AE374" s="1514"/>
      <c r="AF374" s="1514"/>
      <c r="AG374" s="1514"/>
      <c r="AH374" s="1514"/>
      <c r="AI374" s="1514"/>
      <c r="AJ374" s="1514"/>
      <c r="AK374" s="1514"/>
      <c r="AL374" s="1514"/>
      <c r="AM374" s="1514"/>
      <c r="AN374" s="1514"/>
      <c r="AO374" s="1514"/>
      <c r="AP374" s="1514"/>
      <c r="AQ374" s="1514"/>
      <c r="AR374" s="1514"/>
      <c r="AS374" s="1514"/>
    </row>
    <row r="375" spans="1:45" s="955" customFormat="1" x14ac:dyDescent="0.2">
      <c r="A375" s="1514"/>
      <c r="B375" s="1640"/>
      <c r="C375" s="1517"/>
      <c r="D375" s="1516"/>
      <c r="E375" s="1518"/>
      <c r="F375" s="1510"/>
      <c r="G375" s="1510"/>
      <c r="H375" s="1510"/>
      <c r="I375" s="1512"/>
      <c r="J375" s="1512"/>
      <c r="K375" s="1635" t="str">
        <f t="shared" si="30"/>
        <v/>
      </c>
      <c r="L375" s="1633"/>
      <c r="M375" s="1512"/>
      <c r="N375" s="1513" t="str">
        <f t="shared" si="31"/>
        <v/>
      </c>
      <c r="O375" s="1682" t="str">
        <f t="shared" si="32"/>
        <v/>
      </c>
      <c r="P375" s="1512"/>
      <c r="Q375" s="1513" t="str">
        <f t="shared" si="33"/>
        <v/>
      </c>
      <c r="R375" s="1683" t="str">
        <f t="shared" si="34"/>
        <v/>
      </c>
      <c r="S375" s="1512"/>
      <c r="T375" s="1513" t="str">
        <f t="shared" si="35"/>
        <v/>
      </c>
      <c r="U375" s="1512"/>
      <c r="V375" s="1512"/>
      <c r="W375" s="1638"/>
      <c r="X375" s="1514"/>
      <c r="Y375" s="1514"/>
      <c r="Z375" s="1514"/>
      <c r="AA375" s="1514"/>
      <c r="AB375" s="1514"/>
      <c r="AC375" s="1514"/>
      <c r="AD375" s="1514"/>
      <c r="AE375" s="1514"/>
      <c r="AF375" s="1514"/>
      <c r="AG375" s="1514"/>
      <c r="AH375" s="1514"/>
      <c r="AI375" s="1514"/>
      <c r="AJ375" s="1514"/>
      <c r="AK375" s="1514"/>
      <c r="AL375" s="1514"/>
      <c r="AM375" s="1514"/>
      <c r="AN375" s="1514"/>
      <c r="AO375" s="1514"/>
      <c r="AP375" s="1514"/>
      <c r="AQ375" s="1514"/>
      <c r="AR375" s="1514"/>
      <c r="AS375" s="1514"/>
    </row>
    <row r="376" spans="1:45" s="955" customFormat="1" x14ac:dyDescent="0.2">
      <c r="A376" s="1514"/>
      <c r="B376" s="1640"/>
      <c r="C376" s="1517"/>
      <c r="D376" s="1516"/>
      <c r="E376" s="1518"/>
      <c r="F376" s="1510"/>
      <c r="G376" s="1510"/>
      <c r="H376" s="1510"/>
      <c r="I376" s="1512"/>
      <c r="J376" s="1512"/>
      <c r="K376" s="1635" t="str">
        <f t="shared" si="30"/>
        <v/>
      </c>
      <c r="L376" s="1633"/>
      <c r="M376" s="1512"/>
      <c r="N376" s="1513" t="str">
        <f t="shared" si="31"/>
        <v/>
      </c>
      <c r="O376" s="1682" t="str">
        <f t="shared" si="32"/>
        <v/>
      </c>
      <c r="P376" s="1512"/>
      <c r="Q376" s="1513" t="str">
        <f t="shared" si="33"/>
        <v/>
      </c>
      <c r="R376" s="1683" t="str">
        <f t="shared" si="34"/>
        <v/>
      </c>
      <c r="S376" s="1512"/>
      <c r="T376" s="1513" t="str">
        <f t="shared" si="35"/>
        <v/>
      </c>
      <c r="U376" s="1512"/>
      <c r="V376" s="1512"/>
      <c r="W376" s="1638"/>
      <c r="X376" s="1514"/>
      <c r="Y376" s="1514"/>
      <c r="Z376" s="1514"/>
      <c r="AA376" s="1514"/>
      <c r="AB376" s="1514"/>
      <c r="AC376" s="1514"/>
      <c r="AD376" s="1514"/>
      <c r="AE376" s="1514"/>
      <c r="AF376" s="1514"/>
      <c r="AG376" s="1514"/>
      <c r="AH376" s="1514"/>
      <c r="AI376" s="1514"/>
      <c r="AJ376" s="1514"/>
      <c r="AK376" s="1514"/>
      <c r="AL376" s="1514"/>
      <c r="AM376" s="1514"/>
      <c r="AN376" s="1514"/>
      <c r="AO376" s="1514"/>
      <c r="AP376" s="1514"/>
      <c r="AQ376" s="1514"/>
      <c r="AR376" s="1514"/>
      <c r="AS376" s="1514"/>
    </row>
    <row r="377" spans="1:45" s="955" customFormat="1" x14ac:dyDescent="0.2">
      <c r="A377" s="1514"/>
      <c r="B377" s="1640"/>
      <c r="C377" s="1517"/>
      <c r="D377" s="1516"/>
      <c r="E377" s="1518"/>
      <c r="F377" s="1510"/>
      <c r="G377" s="1510"/>
      <c r="H377" s="1510"/>
      <c r="I377" s="1512"/>
      <c r="J377" s="1512"/>
      <c r="K377" s="1635" t="str">
        <f t="shared" si="30"/>
        <v/>
      </c>
      <c r="L377" s="1633"/>
      <c r="M377" s="1512"/>
      <c r="N377" s="1513" t="str">
        <f t="shared" si="31"/>
        <v/>
      </c>
      <c r="O377" s="1682" t="str">
        <f t="shared" si="32"/>
        <v/>
      </c>
      <c r="P377" s="1512"/>
      <c r="Q377" s="1513" t="str">
        <f t="shared" si="33"/>
        <v/>
      </c>
      <c r="R377" s="1683" t="str">
        <f t="shared" si="34"/>
        <v/>
      </c>
      <c r="S377" s="1512"/>
      <c r="T377" s="1513" t="str">
        <f t="shared" si="35"/>
        <v/>
      </c>
      <c r="U377" s="1512"/>
      <c r="V377" s="1512"/>
      <c r="W377" s="1638"/>
      <c r="X377" s="1514"/>
      <c r="Y377" s="1514"/>
      <c r="Z377" s="1514"/>
      <c r="AA377" s="1514"/>
      <c r="AB377" s="1514"/>
      <c r="AC377" s="1514"/>
      <c r="AD377" s="1514"/>
      <c r="AE377" s="1514"/>
      <c r="AF377" s="1514"/>
      <c r="AG377" s="1514"/>
      <c r="AH377" s="1514"/>
      <c r="AI377" s="1514"/>
      <c r="AJ377" s="1514"/>
      <c r="AK377" s="1514"/>
      <c r="AL377" s="1514"/>
      <c r="AM377" s="1514"/>
      <c r="AN377" s="1514"/>
      <c r="AO377" s="1514"/>
      <c r="AP377" s="1514"/>
      <c r="AQ377" s="1514"/>
      <c r="AR377" s="1514"/>
      <c r="AS377" s="1514"/>
    </row>
    <row r="378" spans="1:45" s="955" customFormat="1" x14ac:dyDescent="0.2">
      <c r="A378" s="1514"/>
      <c r="B378" s="1640"/>
      <c r="C378" s="1517"/>
      <c r="D378" s="1516"/>
      <c r="E378" s="1518"/>
      <c r="F378" s="1510"/>
      <c r="G378" s="1510"/>
      <c r="H378" s="1510"/>
      <c r="I378" s="1512"/>
      <c r="J378" s="1512"/>
      <c r="K378" s="1635" t="str">
        <f t="shared" si="30"/>
        <v/>
      </c>
      <c r="L378" s="1633"/>
      <c r="M378" s="1512"/>
      <c r="N378" s="1513" t="str">
        <f t="shared" si="31"/>
        <v/>
      </c>
      <c r="O378" s="1682" t="str">
        <f t="shared" si="32"/>
        <v/>
      </c>
      <c r="P378" s="1512"/>
      <c r="Q378" s="1513" t="str">
        <f t="shared" si="33"/>
        <v/>
      </c>
      <c r="R378" s="1683" t="str">
        <f t="shared" si="34"/>
        <v/>
      </c>
      <c r="S378" s="1512"/>
      <c r="T378" s="1513" t="str">
        <f t="shared" si="35"/>
        <v/>
      </c>
      <c r="U378" s="1512"/>
      <c r="V378" s="1512"/>
      <c r="W378" s="1638"/>
      <c r="X378" s="1514"/>
      <c r="Y378" s="1514"/>
      <c r="Z378" s="1514"/>
      <c r="AA378" s="1514"/>
      <c r="AB378" s="1514"/>
      <c r="AC378" s="1514"/>
      <c r="AD378" s="1514"/>
      <c r="AE378" s="1514"/>
      <c r="AF378" s="1514"/>
      <c r="AG378" s="1514"/>
      <c r="AH378" s="1514"/>
      <c r="AI378" s="1514"/>
      <c r="AJ378" s="1514"/>
      <c r="AK378" s="1514"/>
      <c r="AL378" s="1514"/>
      <c r="AM378" s="1514"/>
      <c r="AN378" s="1514"/>
      <c r="AO378" s="1514"/>
      <c r="AP378" s="1514"/>
      <c r="AQ378" s="1514"/>
      <c r="AR378" s="1514"/>
      <c r="AS378" s="1514"/>
    </row>
    <row r="379" spans="1:45" s="955" customFormat="1" x14ac:dyDescent="0.2">
      <c r="A379" s="1514"/>
      <c r="B379" s="1640"/>
      <c r="C379" s="1517"/>
      <c r="D379" s="1516"/>
      <c r="E379" s="1530"/>
      <c r="F379" s="1510"/>
      <c r="G379" s="1510"/>
      <c r="H379" s="1510"/>
      <c r="I379" s="1512"/>
      <c r="J379" s="1512"/>
      <c r="K379" s="1635" t="str">
        <f t="shared" si="30"/>
        <v/>
      </c>
      <c r="L379" s="1633"/>
      <c r="M379" s="1512"/>
      <c r="N379" s="1513" t="str">
        <f t="shared" si="31"/>
        <v/>
      </c>
      <c r="O379" s="1682" t="str">
        <f t="shared" si="32"/>
        <v/>
      </c>
      <c r="P379" s="1512"/>
      <c r="Q379" s="1513" t="str">
        <f t="shared" si="33"/>
        <v/>
      </c>
      <c r="R379" s="1683" t="str">
        <f t="shared" si="34"/>
        <v/>
      </c>
      <c r="S379" s="1512"/>
      <c r="T379" s="1513" t="str">
        <f t="shared" si="35"/>
        <v/>
      </c>
      <c r="U379" s="1512"/>
      <c r="V379" s="1512"/>
      <c r="W379" s="1638"/>
      <c r="X379" s="1514"/>
      <c r="Y379" s="1514"/>
      <c r="Z379" s="1514"/>
      <c r="AA379" s="1514"/>
      <c r="AB379" s="1514"/>
      <c r="AC379" s="1514"/>
      <c r="AD379" s="1514"/>
      <c r="AE379" s="1514"/>
      <c r="AF379" s="1514"/>
      <c r="AG379" s="1514"/>
      <c r="AH379" s="1514"/>
      <c r="AI379" s="1514"/>
      <c r="AJ379" s="1514"/>
      <c r="AK379" s="1514"/>
      <c r="AL379" s="1514"/>
      <c r="AM379" s="1514"/>
      <c r="AN379" s="1514"/>
      <c r="AO379" s="1514"/>
      <c r="AP379" s="1514"/>
      <c r="AQ379" s="1514"/>
      <c r="AR379" s="1514"/>
      <c r="AS379" s="1514"/>
    </row>
    <row r="380" spans="1:45" s="955" customFormat="1" x14ac:dyDescent="0.2">
      <c r="A380" s="1514"/>
      <c r="B380" s="1640"/>
      <c r="C380" s="1517"/>
      <c r="D380" s="1516"/>
      <c r="E380" s="1530"/>
      <c r="F380" s="1510"/>
      <c r="G380" s="1510"/>
      <c r="H380" s="1510"/>
      <c r="I380" s="1512"/>
      <c r="J380" s="1512"/>
      <c r="K380" s="1635" t="str">
        <f t="shared" si="30"/>
        <v/>
      </c>
      <c r="L380" s="1633"/>
      <c r="M380" s="1512"/>
      <c r="N380" s="1513" t="str">
        <f t="shared" si="31"/>
        <v/>
      </c>
      <c r="O380" s="1682" t="str">
        <f t="shared" si="32"/>
        <v/>
      </c>
      <c r="P380" s="1512"/>
      <c r="Q380" s="1513" t="str">
        <f t="shared" si="33"/>
        <v/>
      </c>
      <c r="R380" s="1683" t="str">
        <f t="shared" si="34"/>
        <v/>
      </c>
      <c r="S380" s="1512"/>
      <c r="T380" s="1513" t="str">
        <f t="shared" si="35"/>
        <v/>
      </c>
      <c r="U380" s="1512"/>
      <c r="V380" s="1512"/>
      <c r="W380" s="1638"/>
      <c r="X380" s="1514"/>
      <c r="Y380" s="1514"/>
      <c r="Z380" s="1514"/>
      <c r="AA380" s="1514"/>
      <c r="AB380" s="1514"/>
      <c r="AC380" s="1514"/>
      <c r="AD380" s="1514"/>
      <c r="AE380" s="1514"/>
      <c r="AF380" s="1514"/>
      <c r="AG380" s="1514"/>
      <c r="AH380" s="1514"/>
      <c r="AI380" s="1514"/>
      <c r="AJ380" s="1514"/>
      <c r="AK380" s="1514"/>
      <c r="AL380" s="1514"/>
      <c r="AM380" s="1514"/>
      <c r="AN380" s="1514"/>
      <c r="AO380" s="1514"/>
      <c r="AP380" s="1514"/>
      <c r="AQ380" s="1514"/>
      <c r="AR380" s="1514"/>
      <c r="AS380" s="1514"/>
    </row>
    <row r="381" spans="1:45" s="955" customFormat="1" x14ac:dyDescent="0.2">
      <c r="A381" s="1514"/>
      <c r="B381" s="1640"/>
      <c r="C381" s="1517"/>
      <c r="D381" s="1516"/>
      <c r="E381" s="1530"/>
      <c r="F381" s="1510"/>
      <c r="G381" s="1510"/>
      <c r="H381" s="1510"/>
      <c r="I381" s="1512"/>
      <c r="J381" s="1512"/>
      <c r="K381" s="1635" t="str">
        <f t="shared" si="30"/>
        <v/>
      </c>
      <c r="L381" s="1633"/>
      <c r="M381" s="1512"/>
      <c r="N381" s="1513" t="str">
        <f t="shared" si="31"/>
        <v/>
      </c>
      <c r="O381" s="1682" t="str">
        <f t="shared" si="32"/>
        <v/>
      </c>
      <c r="P381" s="1512"/>
      <c r="Q381" s="1513" t="str">
        <f t="shared" si="33"/>
        <v/>
      </c>
      <c r="R381" s="1683" t="str">
        <f t="shared" si="34"/>
        <v/>
      </c>
      <c r="S381" s="1512"/>
      <c r="T381" s="1513" t="str">
        <f t="shared" si="35"/>
        <v/>
      </c>
      <c r="U381" s="1512"/>
      <c r="V381" s="1512"/>
      <c r="W381" s="1638"/>
      <c r="X381" s="1514"/>
      <c r="Y381" s="1514"/>
      <c r="Z381" s="1514"/>
      <c r="AA381" s="1514"/>
      <c r="AB381" s="1514"/>
      <c r="AC381" s="1514"/>
      <c r="AD381" s="1514"/>
      <c r="AE381" s="1514"/>
      <c r="AF381" s="1514"/>
      <c r="AG381" s="1514"/>
      <c r="AH381" s="1514"/>
      <c r="AI381" s="1514"/>
      <c r="AJ381" s="1514"/>
      <c r="AK381" s="1514"/>
      <c r="AL381" s="1514"/>
      <c r="AM381" s="1514"/>
      <c r="AN381" s="1514"/>
      <c r="AO381" s="1514"/>
      <c r="AP381" s="1514"/>
      <c r="AQ381" s="1514"/>
      <c r="AR381" s="1514"/>
      <c r="AS381" s="1514"/>
    </row>
    <row r="382" spans="1:45" s="955" customFormat="1" x14ac:dyDescent="0.2">
      <c r="A382" s="1514"/>
      <c r="B382" s="1640"/>
      <c r="C382" s="1517"/>
      <c r="D382" s="1516"/>
      <c r="E382" s="1530"/>
      <c r="F382" s="1510"/>
      <c r="G382" s="1510"/>
      <c r="H382" s="1510"/>
      <c r="I382" s="1512"/>
      <c r="J382" s="1512"/>
      <c r="K382" s="1635" t="str">
        <f t="shared" si="30"/>
        <v/>
      </c>
      <c r="L382" s="1633"/>
      <c r="M382" s="1512"/>
      <c r="N382" s="1513" t="str">
        <f t="shared" si="31"/>
        <v/>
      </c>
      <c r="O382" s="1682" t="str">
        <f t="shared" si="32"/>
        <v/>
      </c>
      <c r="P382" s="1512"/>
      <c r="Q382" s="1513" t="str">
        <f t="shared" si="33"/>
        <v/>
      </c>
      <c r="R382" s="1683" t="str">
        <f t="shared" si="34"/>
        <v/>
      </c>
      <c r="S382" s="1512"/>
      <c r="T382" s="1513" t="str">
        <f t="shared" si="35"/>
        <v/>
      </c>
      <c r="U382" s="1512"/>
      <c r="V382" s="1512"/>
      <c r="W382" s="1638"/>
      <c r="X382" s="1514"/>
      <c r="Y382" s="1514"/>
      <c r="Z382" s="1514"/>
      <c r="AA382" s="1514"/>
      <c r="AB382" s="1514"/>
      <c r="AC382" s="1514"/>
      <c r="AD382" s="1514"/>
      <c r="AE382" s="1514"/>
      <c r="AF382" s="1514"/>
      <c r="AG382" s="1514"/>
      <c r="AH382" s="1514"/>
      <c r="AI382" s="1514"/>
      <c r="AJ382" s="1514"/>
      <c r="AK382" s="1514"/>
      <c r="AL382" s="1514"/>
      <c r="AM382" s="1514"/>
      <c r="AN382" s="1514"/>
      <c r="AO382" s="1514"/>
      <c r="AP382" s="1514"/>
      <c r="AQ382" s="1514"/>
      <c r="AR382" s="1514"/>
      <c r="AS382" s="1514"/>
    </row>
    <row r="383" spans="1:45" s="955" customFormat="1" x14ac:dyDescent="0.2">
      <c r="A383" s="1514"/>
      <c r="B383" s="1640"/>
      <c r="C383" s="1517"/>
      <c r="D383" s="1516"/>
      <c r="E383" s="1530"/>
      <c r="F383" s="1510"/>
      <c r="G383" s="1510"/>
      <c r="H383" s="1510"/>
      <c r="I383" s="1512"/>
      <c r="J383" s="1512"/>
      <c r="K383" s="1635" t="str">
        <f t="shared" si="30"/>
        <v/>
      </c>
      <c r="L383" s="1633"/>
      <c r="M383" s="1512"/>
      <c r="N383" s="1513" t="str">
        <f t="shared" si="31"/>
        <v/>
      </c>
      <c r="O383" s="1682" t="str">
        <f t="shared" si="32"/>
        <v/>
      </c>
      <c r="P383" s="1512"/>
      <c r="Q383" s="1513" t="str">
        <f t="shared" si="33"/>
        <v/>
      </c>
      <c r="R383" s="1683" t="str">
        <f t="shared" si="34"/>
        <v/>
      </c>
      <c r="S383" s="1512"/>
      <c r="T383" s="1513" t="str">
        <f t="shared" si="35"/>
        <v/>
      </c>
      <c r="U383" s="1512"/>
      <c r="V383" s="1512"/>
      <c r="W383" s="1638"/>
      <c r="X383" s="1514"/>
      <c r="Y383" s="1514"/>
      <c r="Z383" s="1514"/>
      <c r="AA383" s="1514"/>
      <c r="AB383" s="1514"/>
      <c r="AC383" s="1514"/>
      <c r="AD383" s="1514"/>
      <c r="AE383" s="1514"/>
      <c r="AF383" s="1514"/>
      <c r="AG383" s="1514"/>
      <c r="AH383" s="1514"/>
      <c r="AI383" s="1514"/>
      <c r="AJ383" s="1514"/>
      <c r="AK383" s="1514"/>
      <c r="AL383" s="1514"/>
      <c r="AM383" s="1514"/>
      <c r="AN383" s="1514"/>
      <c r="AO383" s="1514"/>
      <c r="AP383" s="1514"/>
      <c r="AQ383" s="1514"/>
      <c r="AR383" s="1514"/>
      <c r="AS383" s="1514"/>
    </row>
    <row r="384" spans="1:45" s="955" customFormat="1" x14ac:dyDescent="0.2">
      <c r="A384" s="1514"/>
      <c r="B384" s="1640"/>
      <c r="C384" s="1517"/>
      <c r="D384" s="1516"/>
      <c r="E384" s="1530"/>
      <c r="F384" s="1510"/>
      <c r="G384" s="1510"/>
      <c r="H384" s="1510"/>
      <c r="I384" s="1512"/>
      <c r="J384" s="1512"/>
      <c r="K384" s="1635" t="str">
        <f t="shared" si="30"/>
        <v/>
      </c>
      <c r="L384" s="1633"/>
      <c r="M384" s="1512"/>
      <c r="N384" s="1513" t="str">
        <f t="shared" si="31"/>
        <v/>
      </c>
      <c r="O384" s="1682" t="str">
        <f t="shared" si="32"/>
        <v/>
      </c>
      <c r="P384" s="1512"/>
      <c r="Q384" s="1513" t="str">
        <f t="shared" si="33"/>
        <v/>
      </c>
      <c r="R384" s="1683" t="str">
        <f t="shared" si="34"/>
        <v/>
      </c>
      <c r="S384" s="1512"/>
      <c r="T384" s="1513" t="str">
        <f t="shared" si="35"/>
        <v/>
      </c>
      <c r="U384" s="1512"/>
      <c r="V384" s="1512"/>
      <c r="W384" s="1638"/>
      <c r="X384" s="1514"/>
      <c r="Y384" s="1514"/>
      <c r="Z384" s="1514"/>
      <c r="AA384" s="1514"/>
      <c r="AB384" s="1514"/>
      <c r="AC384" s="1514"/>
      <c r="AD384" s="1514"/>
      <c r="AE384" s="1514"/>
      <c r="AF384" s="1514"/>
      <c r="AG384" s="1514"/>
      <c r="AH384" s="1514"/>
      <c r="AI384" s="1514"/>
      <c r="AJ384" s="1514"/>
      <c r="AK384" s="1514"/>
      <c r="AL384" s="1514"/>
      <c r="AM384" s="1514"/>
      <c r="AN384" s="1514"/>
      <c r="AO384" s="1514"/>
      <c r="AP384" s="1514"/>
      <c r="AQ384" s="1514"/>
      <c r="AR384" s="1514"/>
      <c r="AS384" s="1514"/>
    </row>
    <row r="385" spans="2:23" s="1514" customFormat="1" x14ac:dyDescent="0.2">
      <c r="B385" s="1640"/>
      <c r="C385" s="1517"/>
      <c r="D385" s="1516"/>
      <c r="E385" s="1530"/>
      <c r="F385" s="1510"/>
      <c r="G385" s="1510"/>
      <c r="H385" s="1510"/>
      <c r="I385" s="1512"/>
      <c r="J385" s="1512"/>
      <c r="K385" s="1635" t="str">
        <f t="shared" si="30"/>
        <v/>
      </c>
      <c r="L385" s="1633"/>
      <c r="M385" s="1512"/>
      <c r="N385" s="1513" t="str">
        <f t="shared" si="31"/>
        <v/>
      </c>
      <c r="O385" s="1682" t="str">
        <f t="shared" si="32"/>
        <v/>
      </c>
      <c r="P385" s="1512"/>
      <c r="Q385" s="1513" t="str">
        <f t="shared" si="33"/>
        <v/>
      </c>
      <c r="R385" s="1683" t="str">
        <f t="shared" si="34"/>
        <v/>
      </c>
      <c r="S385" s="1512"/>
      <c r="T385" s="1513" t="str">
        <f t="shared" si="35"/>
        <v/>
      </c>
      <c r="U385" s="1512"/>
      <c r="V385" s="1512"/>
      <c r="W385" s="1638"/>
    </row>
    <row r="386" spans="2:23" s="1514" customFormat="1" x14ac:dyDescent="0.2">
      <c r="B386" s="1640"/>
      <c r="C386" s="1517"/>
      <c r="D386" s="1516"/>
      <c r="E386" s="1530"/>
      <c r="F386" s="1510"/>
      <c r="G386" s="1510"/>
      <c r="H386" s="1510"/>
      <c r="I386" s="1512"/>
      <c r="J386" s="1512"/>
      <c r="K386" s="1635" t="str">
        <f t="shared" si="30"/>
        <v/>
      </c>
      <c r="L386" s="1633"/>
      <c r="M386" s="1512"/>
      <c r="N386" s="1513" t="str">
        <f t="shared" si="31"/>
        <v/>
      </c>
      <c r="O386" s="1682" t="str">
        <f t="shared" si="32"/>
        <v/>
      </c>
      <c r="P386" s="1512"/>
      <c r="Q386" s="1513" t="str">
        <f t="shared" si="33"/>
        <v/>
      </c>
      <c r="R386" s="1683" t="str">
        <f t="shared" si="34"/>
        <v/>
      </c>
      <c r="S386" s="1512"/>
      <c r="T386" s="1513" t="str">
        <f t="shared" si="35"/>
        <v/>
      </c>
      <c r="U386" s="1512"/>
      <c r="V386" s="1512"/>
      <c r="W386" s="1638"/>
    </row>
    <row r="387" spans="2:23" s="1514" customFormat="1" x14ac:dyDescent="0.2">
      <c r="B387" s="1640"/>
      <c r="C387" s="1517"/>
      <c r="D387" s="1516"/>
      <c r="E387" s="1530"/>
      <c r="F387" s="1510"/>
      <c r="G387" s="1510"/>
      <c r="H387" s="1510"/>
      <c r="I387" s="1512"/>
      <c r="J387" s="1512"/>
      <c r="K387" s="1635" t="str">
        <f t="shared" si="30"/>
        <v/>
      </c>
      <c r="L387" s="1633"/>
      <c r="M387" s="1512"/>
      <c r="N387" s="1513" t="str">
        <f t="shared" si="31"/>
        <v/>
      </c>
      <c r="O387" s="1682" t="str">
        <f t="shared" si="32"/>
        <v/>
      </c>
      <c r="P387" s="1512"/>
      <c r="Q387" s="1513" t="str">
        <f t="shared" si="33"/>
        <v/>
      </c>
      <c r="R387" s="1683" t="str">
        <f t="shared" si="34"/>
        <v/>
      </c>
      <c r="S387" s="1512"/>
      <c r="T387" s="1513" t="str">
        <f t="shared" si="35"/>
        <v/>
      </c>
      <c r="U387" s="1512"/>
      <c r="V387" s="1512"/>
      <c r="W387" s="1638"/>
    </row>
    <row r="388" spans="2:23" s="1514" customFormat="1" x14ac:dyDescent="0.2">
      <c r="B388" s="1640"/>
      <c r="C388" s="1517"/>
      <c r="D388" s="1516"/>
      <c r="E388" s="1530"/>
      <c r="F388" s="1510"/>
      <c r="G388" s="1510"/>
      <c r="H388" s="1510"/>
      <c r="I388" s="1512"/>
      <c r="J388" s="1512"/>
      <c r="K388" s="1635" t="str">
        <f t="shared" si="30"/>
        <v/>
      </c>
      <c r="L388" s="1633"/>
      <c r="M388" s="1512"/>
      <c r="N388" s="1513" t="str">
        <f t="shared" si="31"/>
        <v/>
      </c>
      <c r="O388" s="1682" t="str">
        <f t="shared" si="32"/>
        <v/>
      </c>
      <c r="P388" s="1512"/>
      <c r="Q388" s="1513" t="str">
        <f t="shared" si="33"/>
        <v/>
      </c>
      <c r="R388" s="1683" t="str">
        <f t="shared" si="34"/>
        <v/>
      </c>
      <c r="S388" s="1512"/>
      <c r="T388" s="1513" t="str">
        <f t="shared" si="35"/>
        <v/>
      </c>
      <c r="U388" s="1512"/>
      <c r="V388" s="1512"/>
      <c r="W388" s="1638"/>
    </row>
    <row r="389" spans="2:23" s="1514" customFormat="1" x14ac:dyDescent="0.2">
      <c r="B389" s="1640"/>
      <c r="C389" s="1517"/>
      <c r="D389" s="1516"/>
      <c r="E389" s="1531"/>
      <c r="F389" s="1510"/>
      <c r="G389" s="1510"/>
      <c r="H389" s="1510"/>
      <c r="I389" s="1512"/>
      <c r="J389" s="1512"/>
      <c r="K389" s="1635" t="str">
        <f t="shared" si="30"/>
        <v/>
      </c>
      <c r="L389" s="1633"/>
      <c r="M389" s="1512"/>
      <c r="N389" s="1513" t="str">
        <f t="shared" si="31"/>
        <v/>
      </c>
      <c r="O389" s="1682" t="str">
        <f t="shared" si="32"/>
        <v/>
      </c>
      <c r="P389" s="1512"/>
      <c r="Q389" s="1513" t="str">
        <f t="shared" si="33"/>
        <v/>
      </c>
      <c r="R389" s="1683" t="str">
        <f t="shared" si="34"/>
        <v/>
      </c>
      <c r="S389" s="1512"/>
      <c r="T389" s="1513" t="str">
        <f t="shared" si="35"/>
        <v/>
      </c>
      <c r="U389" s="1512"/>
      <c r="V389" s="1512"/>
      <c r="W389" s="1638"/>
    </row>
    <row r="390" spans="2:23" s="1514" customFormat="1" x14ac:dyDescent="0.2">
      <c r="B390" s="1640"/>
      <c r="C390" s="1517"/>
      <c r="D390" s="1516"/>
      <c r="E390" s="1532"/>
      <c r="F390" s="1510"/>
      <c r="G390" s="1510"/>
      <c r="H390" s="1510"/>
      <c r="I390" s="1512"/>
      <c r="J390" s="1512"/>
      <c r="K390" s="1635" t="str">
        <f t="shared" si="30"/>
        <v/>
      </c>
      <c r="L390" s="1633"/>
      <c r="M390" s="1512"/>
      <c r="N390" s="1513" t="str">
        <f t="shared" si="31"/>
        <v/>
      </c>
      <c r="O390" s="1682" t="str">
        <f t="shared" si="32"/>
        <v/>
      </c>
      <c r="P390" s="1512"/>
      <c r="Q390" s="1513" t="str">
        <f t="shared" si="33"/>
        <v/>
      </c>
      <c r="R390" s="1683" t="str">
        <f t="shared" si="34"/>
        <v/>
      </c>
      <c r="S390" s="1512"/>
      <c r="T390" s="1513" t="str">
        <f t="shared" si="35"/>
        <v/>
      </c>
      <c r="U390" s="1512"/>
      <c r="V390" s="1512"/>
      <c r="W390" s="1638"/>
    </row>
    <row r="391" spans="2:23" s="1514" customFormat="1" x14ac:dyDescent="0.2">
      <c r="B391" s="1640"/>
      <c r="C391" s="1517"/>
      <c r="D391" s="1516"/>
      <c r="E391" s="1532"/>
      <c r="F391" s="1510"/>
      <c r="G391" s="1510"/>
      <c r="H391" s="1510"/>
      <c r="I391" s="1512"/>
      <c r="J391" s="1512"/>
      <c r="K391" s="1635" t="str">
        <f t="shared" si="30"/>
        <v/>
      </c>
      <c r="L391" s="1633"/>
      <c r="M391" s="1512"/>
      <c r="N391" s="1513" t="str">
        <f t="shared" si="31"/>
        <v/>
      </c>
      <c r="O391" s="1682" t="str">
        <f t="shared" si="32"/>
        <v/>
      </c>
      <c r="P391" s="1512"/>
      <c r="Q391" s="1513" t="str">
        <f t="shared" si="33"/>
        <v/>
      </c>
      <c r="R391" s="1683" t="str">
        <f t="shared" si="34"/>
        <v/>
      </c>
      <c r="S391" s="1512"/>
      <c r="T391" s="1513" t="str">
        <f t="shared" si="35"/>
        <v/>
      </c>
      <c r="U391" s="1512"/>
      <c r="V391" s="1512"/>
      <c r="W391" s="1638"/>
    </row>
    <row r="392" spans="2:23" s="1514" customFormat="1" x14ac:dyDescent="0.2">
      <c r="B392" s="1640"/>
      <c r="C392" s="1517"/>
      <c r="D392" s="1516"/>
      <c r="E392" s="1520"/>
      <c r="F392" s="1510"/>
      <c r="G392" s="1510"/>
      <c r="H392" s="1510"/>
      <c r="I392" s="1512"/>
      <c r="J392" s="1512"/>
      <c r="K392" s="1635" t="str">
        <f t="shared" si="30"/>
        <v/>
      </c>
      <c r="L392" s="1633"/>
      <c r="M392" s="1512"/>
      <c r="N392" s="1513" t="str">
        <f t="shared" si="31"/>
        <v/>
      </c>
      <c r="O392" s="1682" t="str">
        <f t="shared" si="32"/>
        <v/>
      </c>
      <c r="P392" s="1512"/>
      <c r="Q392" s="1513" t="str">
        <f t="shared" si="33"/>
        <v/>
      </c>
      <c r="R392" s="1683" t="str">
        <f t="shared" si="34"/>
        <v/>
      </c>
      <c r="S392" s="1512"/>
      <c r="T392" s="1513" t="str">
        <f t="shared" si="35"/>
        <v/>
      </c>
      <c r="U392" s="1512"/>
      <c r="V392" s="1512"/>
      <c r="W392" s="1638"/>
    </row>
    <row r="393" spans="2:23" s="1514" customFormat="1" x14ac:dyDescent="0.2">
      <c r="B393" s="1640"/>
      <c r="C393" s="1517"/>
      <c r="D393" s="1516"/>
      <c r="E393" s="1520"/>
      <c r="F393" s="1510"/>
      <c r="G393" s="1510"/>
      <c r="H393" s="1510"/>
      <c r="I393" s="1512"/>
      <c r="J393" s="1512"/>
      <c r="K393" s="1635" t="str">
        <f t="shared" si="30"/>
        <v/>
      </c>
      <c r="L393" s="1633"/>
      <c r="M393" s="1512"/>
      <c r="N393" s="1513" t="str">
        <f t="shared" si="31"/>
        <v/>
      </c>
      <c r="O393" s="1682" t="str">
        <f t="shared" si="32"/>
        <v/>
      </c>
      <c r="P393" s="1512"/>
      <c r="Q393" s="1513" t="str">
        <f t="shared" si="33"/>
        <v/>
      </c>
      <c r="R393" s="1683" t="str">
        <f t="shared" si="34"/>
        <v/>
      </c>
      <c r="S393" s="1512"/>
      <c r="T393" s="1513" t="str">
        <f t="shared" si="35"/>
        <v/>
      </c>
      <c r="U393" s="1512"/>
      <c r="V393" s="1512"/>
      <c r="W393" s="1638"/>
    </row>
    <row r="394" spans="2:23" s="1514" customFormat="1" x14ac:dyDescent="0.2">
      <c r="B394" s="1640"/>
      <c r="C394" s="1517"/>
      <c r="D394" s="1516"/>
      <c r="E394" s="1533"/>
      <c r="F394" s="1510"/>
      <c r="G394" s="1510"/>
      <c r="H394" s="1510"/>
      <c r="I394" s="1512"/>
      <c r="J394" s="1512"/>
      <c r="K394" s="1635" t="str">
        <f t="shared" si="30"/>
        <v/>
      </c>
      <c r="L394" s="1633"/>
      <c r="M394" s="1512"/>
      <c r="N394" s="1513" t="str">
        <f t="shared" si="31"/>
        <v/>
      </c>
      <c r="O394" s="1682" t="str">
        <f t="shared" si="32"/>
        <v/>
      </c>
      <c r="P394" s="1512"/>
      <c r="Q394" s="1513" t="str">
        <f t="shared" si="33"/>
        <v/>
      </c>
      <c r="R394" s="1683" t="str">
        <f t="shared" si="34"/>
        <v/>
      </c>
      <c r="S394" s="1512"/>
      <c r="T394" s="1513" t="str">
        <f t="shared" si="35"/>
        <v/>
      </c>
      <c r="U394" s="1512"/>
      <c r="V394" s="1512"/>
      <c r="W394" s="1638"/>
    </row>
    <row r="395" spans="2:23" s="1514" customFormat="1" x14ac:dyDescent="0.2">
      <c r="B395" s="1640"/>
      <c r="C395" s="1517"/>
      <c r="D395" s="1516"/>
      <c r="E395" s="1533"/>
      <c r="F395" s="1510"/>
      <c r="G395" s="1510"/>
      <c r="H395" s="1510"/>
      <c r="I395" s="1512"/>
      <c r="J395" s="1512"/>
      <c r="K395" s="1635" t="str">
        <f t="shared" si="30"/>
        <v/>
      </c>
      <c r="L395" s="1633"/>
      <c r="M395" s="1512"/>
      <c r="N395" s="1513" t="str">
        <f t="shared" si="31"/>
        <v/>
      </c>
      <c r="O395" s="1682" t="str">
        <f t="shared" si="32"/>
        <v/>
      </c>
      <c r="P395" s="1512"/>
      <c r="Q395" s="1513" t="str">
        <f t="shared" si="33"/>
        <v/>
      </c>
      <c r="R395" s="1683" t="str">
        <f t="shared" si="34"/>
        <v/>
      </c>
      <c r="S395" s="1512"/>
      <c r="T395" s="1513" t="str">
        <f t="shared" si="35"/>
        <v/>
      </c>
      <c r="U395" s="1512"/>
      <c r="V395" s="1512"/>
      <c r="W395" s="1638"/>
    </row>
    <row r="396" spans="2:23" s="1514" customFormat="1" x14ac:dyDescent="0.2">
      <c r="B396" s="1640"/>
      <c r="C396" s="1517"/>
      <c r="D396" s="1516"/>
      <c r="E396" s="1533"/>
      <c r="F396" s="1510"/>
      <c r="G396" s="1510"/>
      <c r="H396" s="1510"/>
      <c r="I396" s="1512"/>
      <c r="J396" s="1512"/>
      <c r="K396" s="1635" t="str">
        <f t="shared" si="30"/>
        <v/>
      </c>
      <c r="L396" s="1633"/>
      <c r="M396" s="1512"/>
      <c r="N396" s="1513" t="str">
        <f t="shared" si="31"/>
        <v/>
      </c>
      <c r="O396" s="1682" t="str">
        <f t="shared" si="32"/>
        <v/>
      </c>
      <c r="P396" s="1512"/>
      <c r="Q396" s="1513" t="str">
        <f t="shared" si="33"/>
        <v/>
      </c>
      <c r="R396" s="1683" t="str">
        <f t="shared" si="34"/>
        <v/>
      </c>
      <c r="S396" s="1512"/>
      <c r="T396" s="1513" t="str">
        <f t="shared" si="35"/>
        <v/>
      </c>
      <c r="U396" s="1512"/>
      <c r="V396" s="1512"/>
      <c r="W396" s="1638"/>
    </row>
    <row r="397" spans="2:23" s="1514" customFormat="1" x14ac:dyDescent="0.2">
      <c r="B397" s="1640"/>
      <c r="C397" s="1517"/>
      <c r="D397" s="1516"/>
      <c r="E397" s="1533"/>
      <c r="F397" s="1510"/>
      <c r="G397" s="1510"/>
      <c r="H397" s="1510"/>
      <c r="I397" s="1512"/>
      <c r="J397" s="1512"/>
      <c r="K397" s="1635" t="str">
        <f t="shared" si="30"/>
        <v/>
      </c>
      <c r="L397" s="1633"/>
      <c r="M397" s="1512"/>
      <c r="N397" s="1513" t="str">
        <f t="shared" si="31"/>
        <v/>
      </c>
      <c r="O397" s="1682" t="str">
        <f t="shared" si="32"/>
        <v/>
      </c>
      <c r="P397" s="1512"/>
      <c r="Q397" s="1513" t="str">
        <f t="shared" si="33"/>
        <v/>
      </c>
      <c r="R397" s="1683" t="str">
        <f t="shared" si="34"/>
        <v/>
      </c>
      <c r="S397" s="1512"/>
      <c r="T397" s="1513" t="str">
        <f t="shared" si="35"/>
        <v/>
      </c>
      <c r="U397" s="1512"/>
      <c r="V397" s="1512"/>
      <c r="W397" s="1638"/>
    </row>
    <row r="398" spans="2:23" s="1514" customFormat="1" x14ac:dyDescent="0.2">
      <c r="B398" s="1640"/>
      <c r="C398" s="1517"/>
      <c r="D398" s="1516"/>
      <c r="E398" s="1533"/>
      <c r="F398" s="1510"/>
      <c r="G398" s="1510"/>
      <c r="H398" s="1510"/>
      <c r="I398" s="1512"/>
      <c r="J398" s="1512"/>
      <c r="K398" s="1635" t="str">
        <f t="shared" si="30"/>
        <v/>
      </c>
      <c r="L398" s="1633"/>
      <c r="M398" s="1512"/>
      <c r="N398" s="1513" t="str">
        <f t="shared" si="31"/>
        <v/>
      </c>
      <c r="O398" s="1682" t="str">
        <f t="shared" si="32"/>
        <v/>
      </c>
      <c r="P398" s="1512"/>
      <c r="Q398" s="1513" t="str">
        <f t="shared" si="33"/>
        <v/>
      </c>
      <c r="R398" s="1683" t="str">
        <f t="shared" si="34"/>
        <v/>
      </c>
      <c r="S398" s="1512"/>
      <c r="T398" s="1513" t="str">
        <f t="shared" si="35"/>
        <v/>
      </c>
      <c r="U398" s="1512"/>
      <c r="V398" s="1512"/>
      <c r="W398" s="1638"/>
    </row>
    <row r="399" spans="2:23" s="1514" customFormat="1" x14ac:dyDescent="0.2">
      <c r="B399" s="1640"/>
      <c r="C399" s="1517"/>
      <c r="D399" s="1516"/>
      <c r="E399" s="1533"/>
      <c r="F399" s="1510"/>
      <c r="G399" s="1510"/>
      <c r="H399" s="1510"/>
      <c r="I399" s="1512"/>
      <c r="J399" s="1512"/>
      <c r="K399" s="1635" t="str">
        <f t="shared" si="30"/>
        <v/>
      </c>
      <c r="L399" s="1633"/>
      <c r="M399" s="1512"/>
      <c r="N399" s="1513" t="str">
        <f t="shared" si="31"/>
        <v/>
      </c>
      <c r="O399" s="1682" t="str">
        <f t="shared" si="32"/>
        <v/>
      </c>
      <c r="P399" s="1512"/>
      <c r="Q399" s="1513" t="str">
        <f t="shared" si="33"/>
        <v/>
      </c>
      <c r="R399" s="1683" t="str">
        <f t="shared" si="34"/>
        <v/>
      </c>
      <c r="S399" s="1512"/>
      <c r="T399" s="1513" t="str">
        <f t="shared" si="35"/>
        <v/>
      </c>
      <c r="U399" s="1512"/>
      <c r="V399" s="1512"/>
      <c r="W399" s="1638"/>
    </row>
    <row r="400" spans="2:23" s="1514" customFormat="1" x14ac:dyDescent="0.2">
      <c r="B400" s="1640"/>
      <c r="C400" s="1517"/>
      <c r="D400" s="1516"/>
      <c r="E400" s="1521"/>
      <c r="F400" s="1510"/>
      <c r="G400" s="1510"/>
      <c r="H400" s="1510"/>
      <c r="I400" s="1512"/>
      <c r="J400" s="1512"/>
      <c r="K400" s="1635" t="str">
        <f t="shared" si="30"/>
        <v/>
      </c>
      <c r="L400" s="1633"/>
      <c r="M400" s="1512"/>
      <c r="N400" s="1513" t="str">
        <f t="shared" si="31"/>
        <v/>
      </c>
      <c r="O400" s="1682" t="str">
        <f t="shared" si="32"/>
        <v/>
      </c>
      <c r="P400" s="1512"/>
      <c r="Q400" s="1513" t="str">
        <f t="shared" si="33"/>
        <v/>
      </c>
      <c r="R400" s="1683" t="str">
        <f t="shared" si="34"/>
        <v/>
      </c>
      <c r="S400" s="1512"/>
      <c r="T400" s="1513" t="str">
        <f t="shared" si="35"/>
        <v/>
      </c>
      <c r="U400" s="1512"/>
      <c r="V400" s="1512"/>
      <c r="W400" s="1638"/>
    </row>
    <row r="401" spans="2:23" s="1514" customFormat="1" x14ac:dyDescent="0.2">
      <c r="B401" s="1640"/>
      <c r="C401" s="1517"/>
      <c r="D401" s="1516"/>
      <c r="E401" s="1521"/>
      <c r="F401" s="1510"/>
      <c r="G401" s="1510"/>
      <c r="H401" s="1510"/>
      <c r="I401" s="1512"/>
      <c r="J401" s="1512"/>
      <c r="K401" s="1635" t="str">
        <f t="shared" si="30"/>
        <v/>
      </c>
      <c r="L401" s="1633"/>
      <c r="M401" s="1512"/>
      <c r="N401" s="1513" t="str">
        <f t="shared" si="31"/>
        <v/>
      </c>
      <c r="O401" s="1682" t="str">
        <f t="shared" si="32"/>
        <v/>
      </c>
      <c r="P401" s="1512"/>
      <c r="Q401" s="1513" t="str">
        <f t="shared" si="33"/>
        <v/>
      </c>
      <c r="R401" s="1683" t="str">
        <f t="shared" si="34"/>
        <v/>
      </c>
      <c r="S401" s="1512"/>
      <c r="T401" s="1513" t="str">
        <f t="shared" si="35"/>
        <v/>
      </c>
      <c r="U401" s="1512"/>
      <c r="V401" s="1512"/>
      <c r="W401" s="1638"/>
    </row>
    <row r="402" spans="2:23" s="1514" customFormat="1" x14ac:dyDescent="0.2">
      <c r="B402" s="1640"/>
      <c r="C402" s="1517"/>
      <c r="D402" s="1516"/>
      <c r="E402" s="1521"/>
      <c r="F402" s="1510"/>
      <c r="G402" s="1510"/>
      <c r="H402" s="1510"/>
      <c r="I402" s="1512"/>
      <c r="J402" s="1512"/>
      <c r="K402" s="1635" t="str">
        <f t="shared" si="30"/>
        <v/>
      </c>
      <c r="L402" s="1633"/>
      <c r="M402" s="1512"/>
      <c r="N402" s="1513" t="str">
        <f t="shared" si="31"/>
        <v/>
      </c>
      <c r="O402" s="1682" t="str">
        <f t="shared" si="32"/>
        <v/>
      </c>
      <c r="P402" s="1512"/>
      <c r="Q402" s="1513" t="str">
        <f t="shared" si="33"/>
        <v/>
      </c>
      <c r="R402" s="1683" t="str">
        <f t="shared" si="34"/>
        <v/>
      </c>
      <c r="S402" s="1512"/>
      <c r="T402" s="1513" t="str">
        <f t="shared" si="35"/>
        <v/>
      </c>
      <c r="U402" s="1512"/>
      <c r="V402" s="1512"/>
      <c r="W402" s="1638"/>
    </row>
    <row r="403" spans="2:23" s="1514" customFormat="1" x14ac:dyDescent="0.2">
      <c r="B403" s="1640"/>
      <c r="C403" s="1517"/>
      <c r="D403" s="1516"/>
      <c r="E403" s="1521"/>
      <c r="F403" s="1510"/>
      <c r="G403" s="1510"/>
      <c r="H403" s="1510"/>
      <c r="I403" s="1512"/>
      <c r="J403" s="1512"/>
      <c r="K403" s="1635" t="str">
        <f t="shared" si="30"/>
        <v/>
      </c>
      <c r="L403" s="1633"/>
      <c r="M403" s="1512"/>
      <c r="N403" s="1513" t="str">
        <f t="shared" si="31"/>
        <v/>
      </c>
      <c r="O403" s="1682" t="str">
        <f t="shared" si="32"/>
        <v/>
      </c>
      <c r="P403" s="1512"/>
      <c r="Q403" s="1513" t="str">
        <f t="shared" si="33"/>
        <v/>
      </c>
      <c r="R403" s="1683" t="str">
        <f t="shared" si="34"/>
        <v/>
      </c>
      <c r="S403" s="1512"/>
      <c r="T403" s="1513" t="str">
        <f t="shared" si="35"/>
        <v/>
      </c>
      <c r="U403" s="1512"/>
      <c r="V403" s="1512"/>
      <c r="W403" s="1638"/>
    </row>
    <row r="404" spans="2:23" s="1514" customFormat="1" x14ac:dyDescent="0.2">
      <c r="B404" s="1640"/>
      <c r="C404" s="1517"/>
      <c r="D404" s="1516"/>
      <c r="E404" s="1521"/>
      <c r="F404" s="1510"/>
      <c r="G404" s="1510"/>
      <c r="H404" s="1510"/>
      <c r="I404" s="1512"/>
      <c r="J404" s="1512"/>
      <c r="K404" s="1635" t="str">
        <f t="shared" si="30"/>
        <v/>
      </c>
      <c r="L404" s="1633"/>
      <c r="M404" s="1512"/>
      <c r="N404" s="1513" t="str">
        <f t="shared" si="31"/>
        <v/>
      </c>
      <c r="O404" s="1682" t="str">
        <f t="shared" si="32"/>
        <v/>
      </c>
      <c r="P404" s="1512"/>
      <c r="Q404" s="1513" t="str">
        <f t="shared" si="33"/>
        <v/>
      </c>
      <c r="R404" s="1683" t="str">
        <f t="shared" si="34"/>
        <v/>
      </c>
      <c r="S404" s="1512"/>
      <c r="T404" s="1513" t="str">
        <f t="shared" si="35"/>
        <v/>
      </c>
      <c r="U404" s="1512"/>
      <c r="V404" s="1512"/>
      <c r="W404" s="1638"/>
    </row>
    <row r="405" spans="2:23" s="1514" customFormat="1" x14ac:dyDescent="0.2">
      <c r="B405" s="1640"/>
      <c r="C405" s="1517"/>
      <c r="D405" s="1516"/>
      <c r="E405" s="1521"/>
      <c r="F405" s="1510"/>
      <c r="G405" s="1510"/>
      <c r="H405" s="1510"/>
      <c r="I405" s="1512"/>
      <c r="J405" s="1512"/>
      <c r="K405" s="1635" t="str">
        <f t="shared" si="30"/>
        <v/>
      </c>
      <c r="L405" s="1633"/>
      <c r="M405" s="1512"/>
      <c r="N405" s="1513" t="str">
        <f t="shared" si="31"/>
        <v/>
      </c>
      <c r="O405" s="1682" t="str">
        <f t="shared" si="32"/>
        <v/>
      </c>
      <c r="P405" s="1512"/>
      <c r="Q405" s="1513" t="str">
        <f t="shared" si="33"/>
        <v/>
      </c>
      <c r="R405" s="1683" t="str">
        <f t="shared" si="34"/>
        <v/>
      </c>
      <c r="S405" s="1512"/>
      <c r="T405" s="1513" t="str">
        <f t="shared" si="35"/>
        <v/>
      </c>
      <c r="U405" s="1512"/>
      <c r="V405" s="1512"/>
      <c r="W405" s="1638"/>
    </row>
    <row r="406" spans="2:23" s="1514" customFormat="1" x14ac:dyDescent="0.2">
      <c r="B406" s="1640"/>
      <c r="C406" s="1517"/>
      <c r="D406" s="1516"/>
      <c r="E406" s="1521"/>
      <c r="F406" s="1510"/>
      <c r="G406" s="1510"/>
      <c r="H406" s="1510"/>
      <c r="I406" s="1512"/>
      <c r="J406" s="1512"/>
      <c r="K406" s="1635" t="str">
        <f t="shared" si="30"/>
        <v/>
      </c>
      <c r="L406" s="1633"/>
      <c r="M406" s="1512"/>
      <c r="N406" s="1513" t="str">
        <f t="shared" si="31"/>
        <v/>
      </c>
      <c r="O406" s="1682" t="str">
        <f t="shared" si="32"/>
        <v/>
      </c>
      <c r="P406" s="1512"/>
      <c r="Q406" s="1513" t="str">
        <f t="shared" si="33"/>
        <v/>
      </c>
      <c r="R406" s="1683" t="str">
        <f t="shared" si="34"/>
        <v/>
      </c>
      <c r="S406" s="1512"/>
      <c r="T406" s="1513" t="str">
        <f t="shared" si="35"/>
        <v/>
      </c>
      <c r="U406" s="1512"/>
      <c r="V406" s="1512"/>
      <c r="W406" s="1638"/>
    </row>
    <row r="407" spans="2:23" s="1514" customFormat="1" x14ac:dyDescent="0.2">
      <c r="B407" s="1640"/>
      <c r="C407" s="1517"/>
      <c r="D407" s="1516"/>
      <c r="E407" s="1521"/>
      <c r="F407" s="1510"/>
      <c r="G407" s="1510"/>
      <c r="H407" s="1510"/>
      <c r="I407" s="1512"/>
      <c r="J407" s="1512"/>
      <c r="K407" s="1635" t="str">
        <f t="shared" si="30"/>
        <v/>
      </c>
      <c r="L407" s="1633"/>
      <c r="M407" s="1512"/>
      <c r="N407" s="1513" t="str">
        <f t="shared" si="31"/>
        <v/>
      </c>
      <c r="O407" s="1682" t="str">
        <f t="shared" si="32"/>
        <v/>
      </c>
      <c r="P407" s="1512"/>
      <c r="Q407" s="1513" t="str">
        <f t="shared" si="33"/>
        <v/>
      </c>
      <c r="R407" s="1683" t="str">
        <f t="shared" si="34"/>
        <v/>
      </c>
      <c r="S407" s="1512"/>
      <c r="T407" s="1513" t="str">
        <f t="shared" si="35"/>
        <v/>
      </c>
      <c r="U407" s="1512"/>
      <c r="V407" s="1512"/>
      <c r="W407" s="1638"/>
    </row>
    <row r="408" spans="2:23" s="1514" customFormat="1" x14ac:dyDescent="0.2">
      <c r="B408" s="1640"/>
      <c r="C408" s="1517"/>
      <c r="D408" s="1516"/>
      <c r="E408" s="1521"/>
      <c r="F408" s="1510"/>
      <c r="G408" s="1510"/>
      <c r="H408" s="1510"/>
      <c r="I408" s="1512"/>
      <c r="J408" s="1512"/>
      <c r="K408" s="1635" t="str">
        <f t="shared" si="30"/>
        <v/>
      </c>
      <c r="L408" s="1633"/>
      <c r="M408" s="1512"/>
      <c r="N408" s="1513" t="str">
        <f t="shared" si="31"/>
        <v/>
      </c>
      <c r="O408" s="1682" t="str">
        <f t="shared" si="32"/>
        <v/>
      </c>
      <c r="P408" s="1512"/>
      <c r="Q408" s="1513" t="str">
        <f t="shared" si="33"/>
        <v/>
      </c>
      <c r="R408" s="1683" t="str">
        <f t="shared" si="34"/>
        <v/>
      </c>
      <c r="S408" s="1512"/>
      <c r="T408" s="1513" t="str">
        <f t="shared" si="35"/>
        <v/>
      </c>
      <c r="U408" s="1512"/>
      <c r="V408" s="1512"/>
      <c r="W408" s="1638"/>
    </row>
    <row r="409" spans="2:23" s="1514" customFormat="1" x14ac:dyDescent="0.2">
      <c r="B409" s="1640"/>
      <c r="C409" s="1517"/>
      <c r="D409" s="1516"/>
      <c r="E409" s="1533"/>
      <c r="F409" s="1510"/>
      <c r="G409" s="1510"/>
      <c r="H409" s="1510"/>
      <c r="I409" s="1512"/>
      <c r="J409" s="1512"/>
      <c r="K409" s="1635" t="str">
        <f t="shared" si="30"/>
        <v/>
      </c>
      <c r="L409" s="1633"/>
      <c r="M409" s="1512"/>
      <c r="N409" s="1513" t="str">
        <f t="shared" si="31"/>
        <v/>
      </c>
      <c r="O409" s="1682" t="str">
        <f t="shared" si="32"/>
        <v/>
      </c>
      <c r="P409" s="1512"/>
      <c r="Q409" s="1513" t="str">
        <f t="shared" si="33"/>
        <v/>
      </c>
      <c r="R409" s="1683" t="str">
        <f t="shared" si="34"/>
        <v/>
      </c>
      <c r="S409" s="1512"/>
      <c r="T409" s="1513" t="str">
        <f t="shared" si="35"/>
        <v/>
      </c>
      <c r="U409" s="1512"/>
      <c r="V409" s="1512"/>
      <c r="W409" s="1638"/>
    </row>
    <row r="410" spans="2:23" s="1514" customFormat="1" x14ac:dyDescent="0.2">
      <c r="B410" s="1640"/>
      <c r="C410" s="1517"/>
      <c r="D410" s="1516"/>
      <c r="E410" s="1521"/>
      <c r="F410" s="1510"/>
      <c r="G410" s="1510"/>
      <c r="H410" s="1510"/>
      <c r="I410" s="1512"/>
      <c r="J410" s="1512"/>
      <c r="K410" s="1635" t="str">
        <f t="shared" ref="K410:K450" si="36">IF(AND(I410=0,J410=0),"",IF(J410&lt;&gt;0,IF(J410&gt;I410,100,J410/I410*100),0))</f>
        <v/>
      </c>
      <c r="L410" s="1633"/>
      <c r="M410" s="1512"/>
      <c r="N410" s="1513" t="str">
        <f t="shared" ref="N410:N450" si="37">IF(AND(L410=0,M410=0),"",IF(M410&lt;&gt;0,IF(M410&gt;L410,100,M410/L410*100),0))</f>
        <v/>
      </c>
      <c r="O410" s="1682" t="str">
        <f t="shared" ref="O410:O450" si="38">IF(L410="","",L410)</f>
        <v/>
      </c>
      <c r="P410" s="1512"/>
      <c r="Q410" s="1513" t="str">
        <f t="shared" ref="Q410:Q450" si="39">IF(O410="","",IF(AND(O410=0,P410=0),0,IF(P410&lt;&gt;0,IF(P410&gt;O410,100,P410/O410*100),0)))</f>
        <v/>
      </c>
      <c r="R410" s="1683" t="str">
        <f t="shared" ref="R410:R450" si="40">IF(P410="","",P410)</f>
        <v/>
      </c>
      <c r="S410" s="1512"/>
      <c r="T410" s="1513" t="str">
        <f t="shared" ref="T410:T450" si="41">IF(R410="","",IF(AND(R410=0,S410=0),0,IF(S410&lt;&gt;0,IF(S410&gt;R410,100,S410/R410*100),0)))</f>
        <v/>
      </c>
      <c r="U410" s="1512"/>
      <c r="V410" s="1512"/>
      <c r="W410" s="1638"/>
    </row>
    <row r="411" spans="2:23" s="1514" customFormat="1" x14ac:dyDescent="0.2">
      <c r="B411" s="1640"/>
      <c r="C411" s="1517"/>
      <c r="D411" s="1516"/>
      <c r="E411" s="1518"/>
      <c r="F411" s="1510"/>
      <c r="G411" s="1510"/>
      <c r="H411" s="1510"/>
      <c r="I411" s="1512"/>
      <c r="J411" s="1512"/>
      <c r="K411" s="1635" t="str">
        <f t="shared" si="36"/>
        <v/>
      </c>
      <c r="L411" s="1633"/>
      <c r="M411" s="1512"/>
      <c r="N411" s="1513" t="str">
        <f t="shared" si="37"/>
        <v/>
      </c>
      <c r="O411" s="1682" t="str">
        <f t="shared" si="38"/>
        <v/>
      </c>
      <c r="P411" s="1512"/>
      <c r="Q411" s="1513" t="str">
        <f t="shared" si="39"/>
        <v/>
      </c>
      <c r="R411" s="1683" t="str">
        <f t="shared" si="40"/>
        <v/>
      </c>
      <c r="S411" s="1512"/>
      <c r="T411" s="1513" t="str">
        <f t="shared" si="41"/>
        <v/>
      </c>
      <c r="U411" s="1512"/>
      <c r="V411" s="1512"/>
      <c r="W411" s="1638"/>
    </row>
    <row r="412" spans="2:23" s="1514" customFormat="1" x14ac:dyDescent="0.2">
      <c r="B412" s="1640"/>
      <c r="C412" s="1517"/>
      <c r="D412" s="1516"/>
      <c r="E412" s="1518"/>
      <c r="F412" s="1510"/>
      <c r="G412" s="1510"/>
      <c r="H412" s="1510"/>
      <c r="I412" s="1512"/>
      <c r="J412" s="1512"/>
      <c r="K412" s="1635" t="str">
        <f t="shared" si="36"/>
        <v/>
      </c>
      <c r="L412" s="1633"/>
      <c r="M412" s="1512"/>
      <c r="N412" s="1513" t="str">
        <f t="shared" si="37"/>
        <v/>
      </c>
      <c r="O412" s="1682" t="str">
        <f t="shared" si="38"/>
        <v/>
      </c>
      <c r="P412" s="1512"/>
      <c r="Q412" s="1513" t="str">
        <f t="shared" si="39"/>
        <v/>
      </c>
      <c r="R412" s="1683" t="str">
        <f t="shared" si="40"/>
        <v/>
      </c>
      <c r="S412" s="1512"/>
      <c r="T412" s="1513" t="str">
        <f t="shared" si="41"/>
        <v/>
      </c>
      <c r="U412" s="1512"/>
      <c r="V412" s="1512"/>
      <c r="W412" s="1638"/>
    </row>
    <row r="413" spans="2:23" s="1514" customFormat="1" x14ac:dyDescent="0.2">
      <c r="B413" s="1640"/>
      <c r="C413" s="1517"/>
      <c r="D413" s="1516"/>
      <c r="E413" s="1518"/>
      <c r="F413" s="1510"/>
      <c r="G413" s="1510"/>
      <c r="H413" s="1510"/>
      <c r="I413" s="1512"/>
      <c r="J413" s="1512"/>
      <c r="K413" s="1635" t="str">
        <f t="shared" si="36"/>
        <v/>
      </c>
      <c r="L413" s="1633"/>
      <c r="M413" s="1512"/>
      <c r="N413" s="1513" t="str">
        <f t="shared" si="37"/>
        <v/>
      </c>
      <c r="O413" s="1682" t="str">
        <f t="shared" si="38"/>
        <v/>
      </c>
      <c r="P413" s="1512"/>
      <c r="Q413" s="1513" t="str">
        <f t="shared" si="39"/>
        <v/>
      </c>
      <c r="R413" s="1683" t="str">
        <f t="shared" si="40"/>
        <v/>
      </c>
      <c r="S413" s="1512"/>
      <c r="T413" s="1513" t="str">
        <f t="shared" si="41"/>
        <v/>
      </c>
      <c r="U413" s="1512"/>
      <c r="V413" s="1512"/>
      <c r="W413" s="1638"/>
    </row>
    <row r="414" spans="2:23" s="1514" customFormat="1" x14ac:dyDescent="0.2">
      <c r="B414" s="1640"/>
      <c r="C414" s="1517"/>
      <c r="D414" s="1516"/>
      <c r="E414" s="1518"/>
      <c r="F414" s="1510"/>
      <c r="G414" s="1510"/>
      <c r="H414" s="1510"/>
      <c r="I414" s="1512"/>
      <c r="J414" s="1512"/>
      <c r="K414" s="1635" t="str">
        <f t="shared" si="36"/>
        <v/>
      </c>
      <c r="L414" s="1633"/>
      <c r="M414" s="1512"/>
      <c r="N414" s="1513" t="str">
        <f t="shared" si="37"/>
        <v/>
      </c>
      <c r="O414" s="1682" t="str">
        <f t="shared" si="38"/>
        <v/>
      </c>
      <c r="P414" s="1512"/>
      <c r="Q414" s="1513" t="str">
        <f t="shared" si="39"/>
        <v/>
      </c>
      <c r="R414" s="1683" t="str">
        <f t="shared" si="40"/>
        <v/>
      </c>
      <c r="S414" s="1512"/>
      <c r="T414" s="1513" t="str">
        <f t="shared" si="41"/>
        <v/>
      </c>
      <c r="U414" s="1512"/>
      <c r="V414" s="1512"/>
      <c r="W414" s="1638"/>
    </row>
    <row r="415" spans="2:23" s="1514" customFormat="1" x14ac:dyDescent="0.2">
      <c r="B415" s="1640"/>
      <c r="C415" s="1517"/>
      <c r="D415" s="1516"/>
      <c r="E415" s="1518"/>
      <c r="F415" s="1510"/>
      <c r="G415" s="1510"/>
      <c r="H415" s="1510"/>
      <c r="I415" s="1512"/>
      <c r="J415" s="1512"/>
      <c r="K415" s="1635" t="str">
        <f t="shared" si="36"/>
        <v/>
      </c>
      <c r="L415" s="1633"/>
      <c r="M415" s="1512"/>
      <c r="N415" s="1513" t="str">
        <f t="shared" si="37"/>
        <v/>
      </c>
      <c r="O415" s="1682" t="str">
        <f t="shared" si="38"/>
        <v/>
      </c>
      <c r="P415" s="1512"/>
      <c r="Q415" s="1513" t="str">
        <f t="shared" si="39"/>
        <v/>
      </c>
      <c r="R415" s="1683" t="str">
        <f t="shared" si="40"/>
        <v/>
      </c>
      <c r="S415" s="1512"/>
      <c r="T415" s="1513" t="str">
        <f t="shared" si="41"/>
        <v/>
      </c>
      <c r="U415" s="1512"/>
      <c r="V415" s="1512"/>
      <c r="W415" s="1638"/>
    </row>
    <row r="416" spans="2:23" s="1514" customFormat="1" x14ac:dyDescent="0.2">
      <c r="B416" s="1640"/>
      <c r="C416" s="1517"/>
      <c r="D416" s="1516"/>
      <c r="E416" s="1518"/>
      <c r="F416" s="1510"/>
      <c r="G416" s="1510"/>
      <c r="H416" s="1510"/>
      <c r="I416" s="1512"/>
      <c r="J416" s="1512"/>
      <c r="K416" s="1635" t="str">
        <f t="shared" si="36"/>
        <v/>
      </c>
      <c r="L416" s="1633"/>
      <c r="M416" s="1512"/>
      <c r="N416" s="1513" t="str">
        <f t="shared" si="37"/>
        <v/>
      </c>
      <c r="O416" s="1682" t="str">
        <f t="shared" si="38"/>
        <v/>
      </c>
      <c r="P416" s="1512"/>
      <c r="Q416" s="1513" t="str">
        <f t="shared" si="39"/>
        <v/>
      </c>
      <c r="R416" s="1683" t="str">
        <f t="shared" si="40"/>
        <v/>
      </c>
      <c r="S416" s="1512"/>
      <c r="T416" s="1513" t="str">
        <f t="shared" si="41"/>
        <v/>
      </c>
      <c r="U416" s="1512"/>
      <c r="V416" s="1512"/>
      <c r="W416" s="1638"/>
    </row>
    <row r="417" spans="2:23" s="1514" customFormat="1" x14ac:dyDescent="0.2">
      <c r="B417" s="1640"/>
      <c r="C417" s="1517"/>
      <c r="D417" s="1516"/>
      <c r="E417" s="1518"/>
      <c r="F417" s="1510"/>
      <c r="G417" s="1510"/>
      <c r="H417" s="1510"/>
      <c r="I417" s="1512"/>
      <c r="J417" s="1512"/>
      <c r="K417" s="1635" t="str">
        <f t="shared" si="36"/>
        <v/>
      </c>
      <c r="L417" s="1633"/>
      <c r="M417" s="1512"/>
      <c r="N417" s="1513" t="str">
        <f t="shared" si="37"/>
        <v/>
      </c>
      <c r="O417" s="1682" t="str">
        <f t="shared" si="38"/>
        <v/>
      </c>
      <c r="P417" s="1512"/>
      <c r="Q417" s="1513" t="str">
        <f t="shared" si="39"/>
        <v/>
      </c>
      <c r="R417" s="1683" t="str">
        <f t="shared" si="40"/>
        <v/>
      </c>
      <c r="S417" s="1512"/>
      <c r="T417" s="1513" t="str">
        <f t="shared" si="41"/>
        <v/>
      </c>
      <c r="U417" s="1512"/>
      <c r="V417" s="1512"/>
      <c r="W417" s="1638"/>
    </row>
    <row r="418" spans="2:23" s="1514" customFormat="1" x14ac:dyDescent="0.2">
      <c r="B418" s="1640"/>
      <c r="C418" s="1517"/>
      <c r="D418" s="1516"/>
      <c r="E418" s="1518"/>
      <c r="F418" s="1510"/>
      <c r="G418" s="1510"/>
      <c r="H418" s="1510"/>
      <c r="I418" s="1512"/>
      <c r="J418" s="1512"/>
      <c r="K418" s="1635" t="str">
        <f t="shared" si="36"/>
        <v/>
      </c>
      <c r="L418" s="1633"/>
      <c r="M418" s="1512"/>
      <c r="N418" s="1513" t="str">
        <f t="shared" si="37"/>
        <v/>
      </c>
      <c r="O418" s="1682" t="str">
        <f t="shared" si="38"/>
        <v/>
      </c>
      <c r="P418" s="1512"/>
      <c r="Q418" s="1513" t="str">
        <f t="shared" si="39"/>
        <v/>
      </c>
      <c r="R418" s="1683" t="str">
        <f t="shared" si="40"/>
        <v/>
      </c>
      <c r="S418" s="1512"/>
      <c r="T418" s="1513" t="str">
        <f t="shared" si="41"/>
        <v/>
      </c>
      <c r="U418" s="1512"/>
      <c r="V418" s="1512"/>
      <c r="W418" s="1638"/>
    </row>
    <row r="419" spans="2:23" s="1514" customFormat="1" x14ac:dyDescent="0.2">
      <c r="B419" s="1640"/>
      <c r="C419" s="1517"/>
      <c r="D419" s="1516"/>
      <c r="E419" s="1518"/>
      <c r="F419" s="1510"/>
      <c r="G419" s="1510"/>
      <c r="H419" s="1510"/>
      <c r="I419" s="1512"/>
      <c r="J419" s="1512"/>
      <c r="K419" s="1635" t="str">
        <f t="shared" si="36"/>
        <v/>
      </c>
      <c r="L419" s="1633"/>
      <c r="M419" s="1512"/>
      <c r="N419" s="1513" t="str">
        <f t="shared" si="37"/>
        <v/>
      </c>
      <c r="O419" s="1682" t="str">
        <f t="shared" si="38"/>
        <v/>
      </c>
      <c r="P419" s="1512"/>
      <c r="Q419" s="1513" t="str">
        <f t="shared" si="39"/>
        <v/>
      </c>
      <c r="R419" s="1683" t="str">
        <f t="shared" si="40"/>
        <v/>
      </c>
      <c r="S419" s="1512"/>
      <c r="T419" s="1513" t="str">
        <f t="shared" si="41"/>
        <v/>
      </c>
      <c r="U419" s="1512"/>
      <c r="V419" s="1512"/>
      <c r="W419" s="1638"/>
    </row>
    <row r="420" spans="2:23" s="1514" customFormat="1" x14ac:dyDescent="0.2">
      <c r="B420" s="1640"/>
      <c r="C420" s="1517"/>
      <c r="D420" s="1516"/>
      <c r="E420" s="1518"/>
      <c r="F420" s="1510"/>
      <c r="G420" s="1510"/>
      <c r="H420" s="1510"/>
      <c r="I420" s="1512"/>
      <c r="J420" s="1512"/>
      <c r="K420" s="1635" t="str">
        <f t="shared" si="36"/>
        <v/>
      </c>
      <c r="L420" s="1633"/>
      <c r="M420" s="1512"/>
      <c r="N420" s="1513" t="str">
        <f t="shared" si="37"/>
        <v/>
      </c>
      <c r="O420" s="1682" t="str">
        <f t="shared" si="38"/>
        <v/>
      </c>
      <c r="P420" s="1512"/>
      <c r="Q420" s="1513" t="str">
        <f t="shared" si="39"/>
        <v/>
      </c>
      <c r="R420" s="1683" t="str">
        <f t="shared" si="40"/>
        <v/>
      </c>
      <c r="S420" s="1512"/>
      <c r="T420" s="1513" t="str">
        <f t="shared" si="41"/>
        <v/>
      </c>
      <c r="U420" s="1512"/>
      <c r="V420" s="1512"/>
      <c r="W420" s="1638"/>
    </row>
    <row r="421" spans="2:23" s="1514" customFormat="1" x14ac:dyDescent="0.2">
      <c r="B421" s="1640"/>
      <c r="C421" s="1517"/>
      <c r="D421" s="1516"/>
      <c r="E421" s="1518"/>
      <c r="F421" s="1510"/>
      <c r="G421" s="1510"/>
      <c r="H421" s="1510"/>
      <c r="I421" s="1512"/>
      <c r="J421" s="1512"/>
      <c r="K421" s="1635" t="str">
        <f t="shared" si="36"/>
        <v/>
      </c>
      <c r="L421" s="1633"/>
      <c r="M421" s="1512"/>
      <c r="N421" s="1513" t="str">
        <f t="shared" si="37"/>
        <v/>
      </c>
      <c r="O421" s="1682" t="str">
        <f t="shared" si="38"/>
        <v/>
      </c>
      <c r="P421" s="1512"/>
      <c r="Q421" s="1513" t="str">
        <f t="shared" si="39"/>
        <v/>
      </c>
      <c r="R421" s="1683" t="str">
        <f t="shared" si="40"/>
        <v/>
      </c>
      <c r="S421" s="1512"/>
      <c r="T421" s="1513" t="str">
        <f t="shared" si="41"/>
        <v/>
      </c>
      <c r="U421" s="1512"/>
      <c r="V421" s="1512"/>
      <c r="W421" s="1638"/>
    </row>
    <row r="422" spans="2:23" s="1514" customFormat="1" x14ac:dyDescent="0.2">
      <c r="B422" s="1640"/>
      <c r="C422" s="1517"/>
      <c r="D422" s="1516"/>
      <c r="E422" s="1518"/>
      <c r="F422" s="1510"/>
      <c r="G422" s="1510"/>
      <c r="H422" s="1510"/>
      <c r="I422" s="1512"/>
      <c r="J422" s="1512"/>
      <c r="K422" s="1635" t="str">
        <f t="shared" si="36"/>
        <v/>
      </c>
      <c r="L422" s="1633"/>
      <c r="M422" s="1512"/>
      <c r="N422" s="1513" t="str">
        <f t="shared" si="37"/>
        <v/>
      </c>
      <c r="O422" s="1682" t="str">
        <f t="shared" si="38"/>
        <v/>
      </c>
      <c r="P422" s="1512"/>
      <c r="Q422" s="1513" t="str">
        <f t="shared" si="39"/>
        <v/>
      </c>
      <c r="R422" s="1683" t="str">
        <f t="shared" si="40"/>
        <v/>
      </c>
      <c r="S422" s="1512"/>
      <c r="T422" s="1513" t="str">
        <f t="shared" si="41"/>
        <v/>
      </c>
      <c r="U422" s="1512"/>
      <c r="V422" s="1512"/>
      <c r="W422" s="1638"/>
    </row>
    <row r="423" spans="2:23" s="1514" customFormat="1" x14ac:dyDescent="0.2">
      <c r="B423" s="1640"/>
      <c r="C423" s="1517"/>
      <c r="D423" s="1516"/>
      <c r="E423" s="1518"/>
      <c r="F423" s="1510"/>
      <c r="G423" s="1510"/>
      <c r="H423" s="1510"/>
      <c r="I423" s="1512"/>
      <c r="J423" s="1512"/>
      <c r="K423" s="1635" t="str">
        <f t="shared" si="36"/>
        <v/>
      </c>
      <c r="L423" s="1633"/>
      <c r="M423" s="1512"/>
      <c r="N423" s="1513" t="str">
        <f t="shared" si="37"/>
        <v/>
      </c>
      <c r="O423" s="1682" t="str">
        <f t="shared" si="38"/>
        <v/>
      </c>
      <c r="P423" s="1512"/>
      <c r="Q423" s="1513" t="str">
        <f t="shared" si="39"/>
        <v/>
      </c>
      <c r="R423" s="1683" t="str">
        <f t="shared" si="40"/>
        <v/>
      </c>
      <c r="S423" s="1512"/>
      <c r="T423" s="1513" t="str">
        <f t="shared" si="41"/>
        <v/>
      </c>
      <c r="U423" s="1512"/>
      <c r="V423" s="1512"/>
      <c r="W423" s="1638"/>
    </row>
    <row r="424" spans="2:23" s="1514" customFormat="1" x14ac:dyDescent="0.2">
      <c r="B424" s="1640"/>
      <c r="C424" s="1517"/>
      <c r="D424" s="1516"/>
      <c r="E424" s="1518"/>
      <c r="F424" s="1510"/>
      <c r="G424" s="1510"/>
      <c r="H424" s="1510"/>
      <c r="I424" s="1512"/>
      <c r="J424" s="1512"/>
      <c r="K424" s="1635" t="str">
        <f t="shared" si="36"/>
        <v/>
      </c>
      <c r="L424" s="1633"/>
      <c r="M424" s="1512"/>
      <c r="N424" s="1513" t="str">
        <f t="shared" si="37"/>
        <v/>
      </c>
      <c r="O424" s="1682" t="str">
        <f t="shared" si="38"/>
        <v/>
      </c>
      <c r="P424" s="1512"/>
      <c r="Q424" s="1513" t="str">
        <f t="shared" si="39"/>
        <v/>
      </c>
      <c r="R424" s="1683" t="str">
        <f t="shared" si="40"/>
        <v/>
      </c>
      <c r="S424" s="1512"/>
      <c r="T424" s="1513" t="str">
        <f t="shared" si="41"/>
        <v/>
      </c>
      <c r="U424" s="1512"/>
      <c r="V424" s="1512"/>
      <c r="W424" s="1638"/>
    </row>
    <row r="425" spans="2:23" s="1514" customFormat="1" x14ac:dyDescent="0.2">
      <c r="B425" s="1640"/>
      <c r="C425" s="1517"/>
      <c r="D425" s="1516"/>
      <c r="E425" s="1518"/>
      <c r="F425" s="1510"/>
      <c r="G425" s="1510"/>
      <c r="H425" s="1510"/>
      <c r="I425" s="1512"/>
      <c r="J425" s="1512"/>
      <c r="K425" s="1635" t="str">
        <f t="shared" si="36"/>
        <v/>
      </c>
      <c r="L425" s="1633"/>
      <c r="M425" s="1512"/>
      <c r="N425" s="1513" t="str">
        <f t="shared" si="37"/>
        <v/>
      </c>
      <c r="O425" s="1682" t="str">
        <f t="shared" si="38"/>
        <v/>
      </c>
      <c r="P425" s="1512"/>
      <c r="Q425" s="1513" t="str">
        <f t="shared" si="39"/>
        <v/>
      </c>
      <c r="R425" s="1683" t="str">
        <f t="shared" si="40"/>
        <v/>
      </c>
      <c r="S425" s="1512"/>
      <c r="T425" s="1513" t="str">
        <f t="shared" si="41"/>
        <v/>
      </c>
      <c r="U425" s="1512"/>
      <c r="V425" s="1512"/>
      <c r="W425" s="1638"/>
    </row>
    <row r="426" spans="2:23" s="1514" customFormat="1" x14ac:dyDescent="0.2">
      <c r="B426" s="1640"/>
      <c r="C426" s="1517"/>
      <c r="D426" s="1516"/>
      <c r="E426" s="1518"/>
      <c r="F426" s="1510"/>
      <c r="G426" s="1510"/>
      <c r="H426" s="1510"/>
      <c r="I426" s="1512"/>
      <c r="J426" s="1512"/>
      <c r="K426" s="1635" t="str">
        <f t="shared" si="36"/>
        <v/>
      </c>
      <c r="L426" s="1633"/>
      <c r="M426" s="1512"/>
      <c r="N426" s="1513" t="str">
        <f t="shared" si="37"/>
        <v/>
      </c>
      <c r="O426" s="1682" t="str">
        <f t="shared" si="38"/>
        <v/>
      </c>
      <c r="P426" s="1512"/>
      <c r="Q426" s="1513" t="str">
        <f t="shared" si="39"/>
        <v/>
      </c>
      <c r="R426" s="1683" t="str">
        <f t="shared" si="40"/>
        <v/>
      </c>
      <c r="S426" s="1512"/>
      <c r="T426" s="1513" t="str">
        <f t="shared" si="41"/>
        <v/>
      </c>
      <c r="U426" s="1512"/>
      <c r="V426" s="1512"/>
      <c r="W426" s="1638"/>
    </row>
    <row r="427" spans="2:23" s="1514" customFormat="1" x14ac:dyDescent="0.2">
      <c r="B427" s="1640"/>
      <c r="C427" s="1517"/>
      <c r="D427" s="1516"/>
      <c r="E427" s="1518"/>
      <c r="F427" s="1510"/>
      <c r="G427" s="1510"/>
      <c r="H427" s="1510"/>
      <c r="I427" s="1512"/>
      <c r="J427" s="1512"/>
      <c r="K427" s="1635" t="str">
        <f t="shared" si="36"/>
        <v/>
      </c>
      <c r="L427" s="1633"/>
      <c r="M427" s="1512"/>
      <c r="N427" s="1513" t="str">
        <f t="shared" si="37"/>
        <v/>
      </c>
      <c r="O427" s="1682" t="str">
        <f t="shared" si="38"/>
        <v/>
      </c>
      <c r="P427" s="1512"/>
      <c r="Q427" s="1513" t="str">
        <f t="shared" si="39"/>
        <v/>
      </c>
      <c r="R427" s="1683" t="str">
        <f t="shared" si="40"/>
        <v/>
      </c>
      <c r="S427" s="1512"/>
      <c r="T427" s="1513" t="str">
        <f t="shared" si="41"/>
        <v/>
      </c>
      <c r="U427" s="1512"/>
      <c r="V427" s="1512"/>
      <c r="W427" s="1638"/>
    </row>
    <row r="428" spans="2:23" s="1514" customFormat="1" x14ac:dyDescent="0.2">
      <c r="B428" s="1640"/>
      <c r="C428" s="1517"/>
      <c r="D428" s="1516"/>
      <c r="E428" s="1518"/>
      <c r="F428" s="1510"/>
      <c r="G428" s="1510"/>
      <c r="H428" s="1510"/>
      <c r="I428" s="1512"/>
      <c r="J428" s="1512"/>
      <c r="K428" s="1635" t="str">
        <f t="shared" si="36"/>
        <v/>
      </c>
      <c r="L428" s="1633"/>
      <c r="M428" s="1512"/>
      <c r="N428" s="1513" t="str">
        <f t="shared" si="37"/>
        <v/>
      </c>
      <c r="O428" s="1682" t="str">
        <f t="shared" si="38"/>
        <v/>
      </c>
      <c r="P428" s="1512"/>
      <c r="Q428" s="1513" t="str">
        <f t="shared" si="39"/>
        <v/>
      </c>
      <c r="R428" s="1683" t="str">
        <f t="shared" si="40"/>
        <v/>
      </c>
      <c r="S428" s="1512"/>
      <c r="T428" s="1513" t="str">
        <f t="shared" si="41"/>
        <v/>
      </c>
      <c r="U428" s="1512"/>
      <c r="V428" s="1512"/>
      <c r="W428" s="1638"/>
    </row>
    <row r="429" spans="2:23" s="1514" customFormat="1" x14ac:dyDescent="0.2">
      <c r="B429" s="1640"/>
      <c r="C429" s="1517"/>
      <c r="D429" s="1516"/>
      <c r="E429" s="1518"/>
      <c r="F429" s="1510"/>
      <c r="G429" s="1510"/>
      <c r="H429" s="1510"/>
      <c r="I429" s="1512"/>
      <c r="J429" s="1512"/>
      <c r="K429" s="1635" t="str">
        <f t="shared" si="36"/>
        <v/>
      </c>
      <c r="L429" s="1633"/>
      <c r="M429" s="1512"/>
      <c r="N429" s="1513" t="str">
        <f t="shared" si="37"/>
        <v/>
      </c>
      <c r="O429" s="1682" t="str">
        <f t="shared" si="38"/>
        <v/>
      </c>
      <c r="P429" s="1512"/>
      <c r="Q429" s="1513" t="str">
        <f t="shared" si="39"/>
        <v/>
      </c>
      <c r="R429" s="1683" t="str">
        <f t="shared" si="40"/>
        <v/>
      </c>
      <c r="S429" s="1512"/>
      <c r="T429" s="1513" t="str">
        <f t="shared" si="41"/>
        <v/>
      </c>
      <c r="U429" s="1512"/>
      <c r="V429" s="1512"/>
      <c r="W429" s="1638"/>
    </row>
    <row r="430" spans="2:23" s="1514" customFormat="1" x14ac:dyDescent="0.2">
      <c r="B430" s="1640"/>
      <c r="C430" s="1517"/>
      <c r="D430" s="1516"/>
      <c r="E430" s="1518"/>
      <c r="F430" s="1510"/>
      <c r="G430" s="1510"/>
      <c r="H430" s="1510"/>
      <c r="I430" s="1512"/>
      <c r="J430" s="1512"/>
      <c r="K430" s="1635" t="str">
        <f t="shared" si="36"/>
        <v/>
      </c>
      <c r="L430" s="1633"/>
      <c r="M430" s="1512"/>
      <c r="N430" s="1513" t="str">
        <f t="shared" si="37"/>
        <v/>
      </c>
      <c r="O430" s="1682" t="str">
        <f t="shared" si="38"/>
        <v/>
      </c>
      <c r="P430" s="1512"/>
      <c r="Q430" s="1513" t="str">
        <f t="shared" si="39"/>
        <v/>
      </c>
      <c r="R430" s="1683" t="str">
        <f t="shared" si="40"/>
        <v/>
      </c>
      <c r="S430" s="1512"/>
      <c r="T430" s="1513" t="str">
        <f t="shared" si="41"/>
        <v/>
      </c>
      <c r="U430" s="1512"/>
      <c r="V430" s="1512"/>
      <c r="W430" s="1638"/>
    </row>
    <row r="431" spans="2:23" s="1514" customFormat="1" x14ac:dyDescent="0.2">
      <c r="B431" s="1640"/>
      <c r="C431" s="1517"/>
      <c r="D431" s="1516"/>
      <c r="E431" s="1518"/>
      <c r="F431" s="1510"/>
      <c r="G431" s="1510"/>
      <c r="H431" s="1510"/>
      <c r="I431" s="1512"/>
      <c r="J431" s="1512"/>
      <c r="K431" s="1635" t="str">
        <f t="shared" si="36"/>
        <v/>
      </c>
      <c r="L431" s="1633"/>
      <c r="M431" s="1512"/>
      <c r="N431" s="1513" t="str">
        <f t="shared" si="37"/>
        <v/>
      </c>
      <c r="O431" s="1682" t="str">
        <f t="shared" si="38"/>
        <v/>
      </c>
      <c r="P431" s="1512"/>
      <c r="Q431" s="1513" t="str">
        <f t="shared" si="39"/>
        <v/>
      </c>
      <c r="R431" s="1683" t="str">
        <f t="shared" si="40"/>
        <v/>
      </c>
      <c r="S431" s="1512"/>
      <c r="T431" s="1513" t="str">
        <f t="shared" si="41"/>
        <v/>
      </c>
      <c r="U431" s="1512"/>
      <c r="V431" s="1512"/>
      <c r="W431" s="1638"/>
    </row>
    <row r="432" spans="2:23" s="1514" customFormat="1" x14ac:dyDescent="0.2">
      <c r="B432" s="1640"/>
      <c r="C432" s="1517"/>
      <c r="D432" s="1516"/>
      <c r="E432" s="1518"/>
      <c r="F432" s="1510"/>
      <c r="G432" s="1510"/>
      <c r="H432" s="1510"/>
      <c r="I432" s="1512"/>
      <c r="J432" s="1512"/>
      <c r="K432" s="1635" t="str">
        <f t="shared" si="36"/>
        <v/>
      </c>
      <c r="L432" s="1633"/>
      <c r="M432" s="1512"/>
      <c r="N432" s="1513" t="str">
        <f t="shared" si="37"/>
        <v/>
      </c>
      <c r="O432" s="1682" t="str">
        <f t="shared" si="38"/>
        <v/>
      </c>
      <c r="P432" s="1512"/>
      <c r="Q432" s="1513" t="str">
        <f t="shared" si="39"/>
        <v/>
      </c>
      <c r="R432" s="1683" t="str">
        <f t="shared" si="40"/>
        <v/>
      </c>
      <c r="S432" s="1512"/>
      <c r="T432" s="1513" t="str">
        <f t="shared" si="41"/>
        <v/>
      </c>
      <c r="U432" s="1512"/>
      <c r="V432" s="1512"/>
      <c r="W432" s="1638"/>
    </row>
    <row r="433" spans="2:23" s="1514" customFormat="1" x14ac:dyDescent="0.2">
      <c r="B433" s="1640"/>
      <c r="C433" s="1517"/>
      <c r="D433" s="1516"/>
      <c r="E433" s="1518"/>
      <c r="F433" s="1510"/>
      <c r="G433" s="1510"/>
      <c r="H433" s="1510"/>
      <c r="I433" s="1512"/>
      <c r="J433" s="1512"/>
      <c r="K433" s="1635" t="str">
        <f t="shared" si="36"/>
        <v/>
      </c>
      <c r="L433" s="1633"/>
      <c r="M433" s="1512"/>
      <c r="N433" s="1513" t="str">
        <f t="shared" si="37"/>
        <v/>
      </c>
      <c r="O433" s="1682" t="str">
        <f t="shared" si="38"/>
        <v/>
      </c>
      <c r="P433" s="1512"/>
      <c r="Q433" s="1513" t="str">
        <f t="shared" si="39"/>
        <v/>
      </c>
      <c r="R433" s="1683" t="str">
        <f t="shared" si="40"/>
        <v/>
      </c>
      <c r="S433" s="1512"/>
      <c r="T433" s="1513" t="str">
        <f t="shared" si="41"/>
        <v/>
      </c>
      <c r="U433" s="1512"/>
      <c r="V433" s="1512"/>
      <c r="W433" s="1638"/>
    </row>
    <row r="434" spans="2:23" s="1514" customFormat="1" x14ac:dyDescent="0.2">
      <c r="B434" s="1640"/>
      <c r="C434" s="1517"/>
      <c r="D434" s="1516"/>
      <c r="E434" s="1518"/>
      <c r="F434" s="1510"/>
      <c r="G434" s="1510"/>
      <c r="H434" s="1510"/>
      <c r="I434" s="1512"/>
      <c r="J434" s="1512"/>
      <c r="K434" s="1635" t="str">
        <f t="shared" si="36"/>
        <v/>
      </c>
      <c r="L434" s="1633"/>
      <c r="M434" s="1512"/>
      <c r="N434" s="1513" t="str">
        <f t="shared" si="37"/>
        <v/>
      </c>
      <c r="O434" s="1682" t="str">
        <f t="shared" si="38"/>
        <v/>
      </c>
      <c r="P434" s="1512"/>
      <c r="Q434" s="1513" t="str">
        <f t="shared" si="39"/>
        <v/>
      </c>
      <c r="R434" s="1683" t="str">
        <f t="shared" si="40"/>
        <v/>
      </c>
      <c r="S434" s="1512"/>
      <c r="T434" s="1513" t="str">
        <f t="shared" si="41"/>
        <v/>
      </c>
      <c r="U434" s="1512"/>
      <c r="V434" s="1512"/>
      <c r="W434" s="1638"/>
    </row>
    <row r="435" spans="2:23" s="1514" customFormat="1" x14ac:dyDescent="0.2">
      <c r="B435" s="1640"/>
      <c r="C435" s="1517"/>
      <c r="D435" s="1516"/>
      <c r="E435" s="1518"/>
      <c r="F435" s="1510"/>
      <c r="G435" s="1510"/>
      <c r="H435" s="1510"/>
      <c r="I435" s="1512"/>
      <c r="J435" s="1512"/>
      <c r="K435" s="1635" t="str">
        <f t="shared" si="36"/>
        <v/>
      </c>
      <c r="L435" s="1633"/>
      <c r="M435" s="1512"/>
      <c r="N435" s="1513" t="str">
        <f t="shared" si="37"/>
        <v/>
      </c>
      <c r="O435" s="1682" t="str">
        <f t="shared" si="38"/>
        <v/>
      </c>
      <c r="P435" s="1512"/>
      <c r="Q435" s="1513" t="str">
        <f t="shared" si="39"/>
        <v/>
      </c>
      <c r="R435" s="1683" t="str">
        <f t="shared" si="40"/>
        <v/>
      </c>
      <c r="S435" s="1512"/>
      <c r="T435" s="1513" t="str">
        <f t="shared" si="41"/>
        <v/>
      </c>
      <c r="U435" s="1512"/>
      <c r="V435" s="1512"/>
      <c r="W435" s="1638"/>
    </row>
    <row r="436" spans="2:23" s="1514" customFormat="1" x14ac:dyDescent="0.2">
      <c r="B436" s="1640"/>
      <c r="C436" s="1517"/>
      <c r="D436" s="1516"/>
      <c r="E436" s="1518"/>
      <c r="F436" s="1510"/>
      <c r="G436" s="1510"/>
      <c r="H436" s="1510"/>
      <c r="I436" s="1512"/>
      <c r="J436" s="1512"/>
      <c r="K436" s="1635" t="str">
        <f t="shared" si="36"/>
        <v/>
      </c>
      <c r="L436" s="1633"/>
      <c r="M436" s="1512"/>
      <c r="N436" s="1513" t="str">
        <f t="shared" si="37"/>
        <v/>
      </c>
      <c r="O436" s="1682" t="str">
        <f t="shared" si="38"/>
        <v/>
      </c>
      <c r="P436" s="1512"/>
      <c r="Q436" s="1513" t="str">
        <f t="shared" si="39"/>
        <v/>
      </c>
      <c r="R436" s="1683" t="str">
        <f t="shared" si="40"/>
        <v/>
      </c>
      <c r="S436" s="1512"/>
      <c r="T436" s="1513" t="str">
        <f t="shared" si="41"/>
        <v/>
      </c>
      <c r="U436" s="1512"/>
      <c r="V436" s="1512"/>
      <c r="W436" s="1638"/>
    </row>
    <row r="437" spans="2:23" s="1514" customFormat="1" x14ac:dyDescent="0.2">
      <c r="B437" s="1640"/>
      <c r="C437" s="1517"/>
      <c r="D437" s="1516"/>
      <c r="E437" s="1518"/>
      <c r="F437" s="1510"/>
      <c r="G437" s="1510"/>
      <c r="H437" s="1510"/>
      <c r="I437" s="1512"/>
      <c r="J437" s="1512"/>
      <c r="K437" s="1635" t="str">
        <f t="shared" si="36"/>
        <v/>
      </c>
      <c r="L437" s="1633"/>
      <c r="M437" s="1512"/>
      <c r="N437" s="1513" t="str">
        <f t="shared" si="37"/>
        <v/>
      </c>
      <c r="O437" s="1682" t="str">
        <f t="shared" si="38"/>
        <v/>
      </c>
      <c r="P437" s="1512"/>
      <c r="Q437" s="1513" t="str">
        <f t="shared" si="39"/>
        <v/>
      </c>
      <c r="R437" s="1683" t="str">
        <f t="shared" si="40"/>
        <v/>
      </c>
      <c r="S437" s="1512"/>
      <c r="T437" s="1513" t="str">
        <f t="shared" si="41"/>
        <v/>
      </c>
      <c r="U437" s="1512"/>
      <c r="V437" s="1512"/>
      <c r="W437" s="1638"/>
    </row>
    <row r="438" spans="2:23" s="1514" customFormat="1" x14ac:dyDescent="0.2">
      <c r="B438" s="1640"/>
      <c r="C438" s="1517"/>
      <c r="D438" s="1516"/>
      <c r="E438" s="1518"/>
      <c r="F438" s="1510"/>
      <c r="G438" s="1510"/>
      <c r="H438" s="1510"/>
      <c r="I438" s="1512"/>
      <c r="J438" s="1512"/>
      <c r="K438" s="1635" t="str">
        <f t="shared" si="36"/>
        <v/>
      </c>
      <c r="L438" s="1633"/>
      <c r="M438" s="1512"/>
      <c r="N438" s="1513" t="str">
        <f t="shared" si="37"/>
        <v/>
      </c>
      <c r="O438" s="1682" t="str">
        <f t="shared" si="38"/>
        <v/>
      </c>
      <c r="P438" s="1512"/>
      <c r="Q438" s="1513" t="str">
        <f t="shared" si="39"/>
        <v/>
      </c>
      <c r="R438" s="1683" t="str">
        <f t="shared" si="40"/>
        <v/>
      </c>
      <c r="S438" s="1512"/>
      <c r="T438" s="1513" t="str">
        <f t="shared" si="41"/>
        <v/>
      </c>
      <c r="U438" s="1512"/>
      <c r="V438" s="1512"/>
      <c r="W438" s="1638"/>
    </row>
    <row r="439" spans="2:23" s="1514" customFormat="1" x14ac:dyDescent="0.2">
      <c r="B439" s="1640"/>
      <c r="C439" s="1517"/>
      <c r="D439" s="1516"/>
      <c r="E439" s="1518"/>
      <c r="F439" s="1510"/>
      <c r="G439" s="1510"/>
      <c r="H439" s="1510"/>
      <c r="I439" s="1512"/>
      <c r="J439" s="1512"/>
      <c r="K439" s="1635" t="str">
        <f t="shared" si="36"/>
        <v/>
      </c>
      <c r="L439" s="1633"/>
      <c r="M439" s="1512"/>
      <c r="N439" s="1513" t="str">
        <f t="shared" si="37"/>
        <v/>
      </c>
      <c r="O439" s="1682" t="str">
        <f t="shared" si="38"/>
        <v/>
      </c>
      <c r="P439" s="1512"/>
      <c r="Q439" s="1513" t="str">
        <f t="shared" si="39"/>
        <v/>
      </c>
      <c r="R439" s="1683" t="str">
        <f t="shared" si="40"/>
        <v/>
      </c>
      <c r="S439" s="1512"/>
      <c r="T439" s="1513" t="str">
        <f t="shared" si="41"/>
        <v/>
      </c>
      <c r="U439" s="1512"/>
      <c r="V439" s="1512"/>
      <c r="W439" s="1638"/>
    </row>
    <row r="440" spans="2:23" s="1514" customFormat="1" x14ac:dyDescent="0.2">
      <c r="B440" s="1640"/>
      <c r="C440" s="1517"/>
      <c r="D440" s="1516"/>
      <c r="E440" s="1518"/>
      <c r="F440" s="1510"/>
      <c r="G440" s="1510"/>
      <c r="H440" s="1510"/>
      <c r="I440" s="1512"/>
      <c r="J440" s="1512"/>
      <c r="K440" s="1635" t="str">
        <f t="shared" si="36"/>
        <v/>
      </c>
      <c r="L440" s="1633"/>
      <c r="M440" s="1512"/>
      <c r="N440" s="1513" t="str">
        <f t="shared" si="37"/>
        <v/>
      </c>
      <c r="O440" s="1682" t="str">
        <f t="shared" si="38"/>
        <v/>
      </c>
      <c r="P440" s="1512"/>
      <c r="Q440" s="1513" t="str">
        <f t="shared" si="39"/>
        <v/>
      </c>
      <c r="R440" s="1683" t="str">
        <f t="shared" si="40"/>
        <v/>
      </c>
      <c r="S440" s="1512"/>
      <c r="T440" s="1513" t="str">
        <f t="shared" si="41"/>
        <v/>
      </c>
      <c r="U440" s="1512"/>
      <c r="V440" s="1512"/>
      <c r="W440" s="1638"/>
    </row>
    <row r="441" spans="2:23" s="1514" customFormat="1" x14ac:dyDescent="0.2">
      <c r="B441" s="1640"/>
      <c r="C441" s="1517"/>
      <c r="D441" s="1516"/>
      <c r="E441" s="1518"/>
      <c r="F441" s="1510"/>
      <c r="G441" s="1510"/>
      <c r="H441" s="1510"/>
      <c r="I441" s="1512"/>
      <c r="J441" s="1512"/>
      <c r="K441" s="1635" t="str">
        <f t="shared" si="36"/>
        <v/>
      </c>
      <c r="L441" s="1633"/>
      <c r="M441" s="1512"/>
      <c r="N441" s="1513" t="str">
        <f t="shared" si="37"/>
        <v/>
      </c>
      <c r="O441" s="1682" t="str">
        <f t="shared" si="38"/>
        <v/>
      </c>
      <c r="P441" s="1512"/>
      <c r="Q441" s="1513" t="str">
        <f t="shared" si="39"/>
        <v/>
      </c>
      <c r="R441" s="1683" t="str">
        <f t="shared" si="40"/>
        <v/>
      </c>
      <c r="S441" s="1512"/>
      <c r="T441" s="1513" t="str">
        <f t="shared" si="41"/>
        <v/>
      </c>
      <c r="U441" s="1512"/>
      <c r="V441" s="1512"/>
      <c r="W441" s="1638"/>
    </row>
    <row r="442" spans="2:23" s="1514" customFormat="1" x14ac:dyDescent="0.2">
      <c r="B442" s="1640"/>
      <c r="C442" s="1517"/>
      <c r="D442" s="1516"/>
      <c r="E442" s="1518"/>
      <c r="F442" s="1510"/>
      <c r="G442" s="1510"/>
      <c r="H442" s="1510"/>
      <c r="I442" s="1512"/>
      <c r="J442" s="1512"/>
      <c r="K442" s="1635" t="str">
        <f t="shared" si="36"/>
        <v/>
      </c>
      <c r="L442" s="1633"/>
      <c r="M442" s="1512"/>
      <c r="N442" s="1513" t="str">
        <f t="shared" si="37"/>
        <v/>
      </c>
      <c r="O442" s="1682" t="str">
        <f t="shared" si="38"/>
        <v/>
      </c>
      <c r="P442" s="1512"/>
      <c r="Q442" s="1513" t="str">
        <f t="shared" si="39"/>
        <v/>
      </c>
      <c r="R442" s="1683" t="str">
        <f t="shared" si="40"/>
        <v/>
      </c>
      <c r="S442" s="1512"/>
      <c r="T442" s="1513" t="str">
        <f t="shared" si="41"/>
        <v/>
      </c>
      <c r="U442" s="1512"/>
      <c r="V442" s="1512"/>
      <c r="W442" s="1638"/>
    </row>
    <row r="443" spans="2:23" s="1514" customFormat="1" x14ac:dyDescent="0.2">
      <c r="B443" s="1640"/>
      <c r="C443" s="1517"/>
      <c r="D443" s="1516"/>
      <c r="E443" s="1518"/>
      <c r="F443" s="1510"/>
      <c r="G443" s="1510"/>
      <c r="H443" s="1510"/>
      <c r="I443" s="1512"/>
      <c r="J443" s="1512"/>
      <c r="K443" s="1635" t="str">
        <f t="shared" si="36"/>
        <v/>
      </c>
      <c r="L443" s="1633"/>
      <c r="M443" s="1512"/>
      <c r="N443" s="1513" t="str">
        <f t="shared" si="37"/>
        <v/>
      </c>
      <c r="O443" s="1682" t="str">
        <f t="shared" si="38"/>
        <v/>
      </c>
      <c r="P443" s="1512"/>
      <c r="Q443" s="1513" t="str">
        <f t="shared" si="39"/>
        <v/>
      </c>
      <c r="R443" s="1683" t="str">
        <f t="shared" si="40"/>
        <v/>
      </c>
      <c r="S443" s="1512"/>
      <c r="T443" s="1513" t="str">
        <f t="shared" si="41"/>
        <v/>
      </c>
      <c r="U443" s="1512"/>
      <c r="V443" s="1512"/>
      <c r="W443" s="1638"/>
    </row>
    <row r="444" spans="2:23" s="1514" customFormat="1" x14ac:dyDescent="0.2">
      <c r="B444" s="1640"/>
      <c r="C444" s="1517"/>
      <c r="D444" s="1516"/>
      <c r="E444" s="1518"/>
      <c r="F444" s="1510"/>
      <c r="G444" s="1510"/>
      <c r="H444" s="1510"/>
      <c r="I444" s="1512"/>
      <c r="J444" s="1512"/>
      <c r="K444" s="1635" t="str">
        <f t="shared" si="36"/>
        <v/>
      </c>
      <c r="L444" s="1633"/>
      <c r="M444" s="1512"/>
      <c r="N444" s="1513" t="str">
        <f t="shared" si="37"/>
        <v/>
      </c>
      <c r="O444" s="1682" t="str">
        <f t="shared" si="38"/>
        <v/>
      </c>
      <c r="P444" s="1512"/>
      <c r="Q444" s="1513" t="str">
        <f t="shared" si="39"/>
        <v/>
      </c>
      <c r="R444" s="1683" t="str">
        <f t="shared" si="40"/>
        <v/>
      </c>
      <c r="S444" s="1512"/>
      <c r="T444" s="1513" t="str">
        <f t="shared" si="41"/>
        <v/>
      </c>
      <c r="U444" s="1512"/>
      <c r="V444" s="1512"/>
      <c r="W444" s="1638"/>
    </row>
    <row r="445" spans="2:23" s="1514" customFormat="1" x14ac:dyDescent="0.2">
      <c r="B445" s="1640"/>
      <c r="C445" s="1517"/>
      <c r="D445" s="1516"/>
      <c r="E445" s="1518"/>
      <c r="F445" s="1510"/>
      <c r="G445" s="1510"/>
      <c r="H445" s="1510"/>
      <c r="I445" s="1512"/>
      <c r="J445" s="1512"/>
      <c r="K445" s="1635" t="str">
        <f t="shared" si="36"/>
        <v/>
      </c>
      <c r="L445" s="1633"/>
      <c r="M445" s="1512"/>
      <c r="N445" s="1513" t="str">
        <f t="shared" si="37"/>
        <v/>
      </c>
      <c r="O445" s="1682" t="str">
        <f t="shared" si="38"/>
        <v/>
      </c>
      <c r="P445" s="1512"/>
      <c r="Q445" s="1513" t="str">
        <f t="shared" si="39"/>
        <v/>
      </c>
      <c r="R445" s="1683" t="str">
        <f t="shared" si="40"/>
        <v/>
      </c>
      <c r="S445" s="1512"/>
      <c r="T445" s="1513" t="str">
        <f t="shared" si="41"/>
        <v/>
      </c>
      <c r="U445" s="1512"/>
      <c r="V445" s="1512"/>
      <c r="W445" s="1638"/>
    </row>
    <row r="446" spans="2:23" s="1514" customFormat="1" x14ac:dyDescent="0.2">
      <c r="B446" s="1640"/>
      <c r="C446" s="1517"/>
      <c r="D446" s="1516"/>
      <c r="E446" s="1518"/>
      <c r="F446" s="1510"/>
      <c r="G446" s="1510"/>
      <c r="H446" s="1510"/>
      <c r="I446" s="1512"/>
      <c r="J446" s="1512"/>
      <c r="K446" s="1635" t="str">
        <f t="shared" si="36"/>
        <v/>
      </c>
      <c r="L446" s="1633"/>
      <c r="M446" s="1512"/>
      <c r="N446" s="1513" t="str">
        <f t="shared" si="37"/>
        <v/>
      </c>
      <c r="O446" s="1682" t="str">
        <f t="shared" si="38"/>
        <v/>
      </c>
      <c r="P446" s="1512"/>
      <c r="Q446" s="1513" t="str">
        <f t="shared" si="39"/>
        <v/>
      </c>
      <c r="R446" s="1683" t="str">
        <f t="shared" si="40"/>
        <v/>
      </c>
      <c r="S446" s="1512"/>
      <c r="T446" s="1513" t="str">
        <f t="shared" si="41"/>
        <v/>
      </c>
      <c r="U446" s="1512"/>
      <c r="V446" s="1512"/>
      <c r="W446" s="1638"/>
    </row>
    <row r="447" spans="2:23" s="1514" customFormat="1" x14ac:dyDescent="0.2">
      <c r="B447" s="1640"/>
      <c r="C447" s="1517"/>
      <c r="D447" s="1516"/>
      <c r="E447" s="1518"/>
      <c r="F447" s="1510"/>
      <c r="G447" s="1510"/>
      <c r="H447" s="1510"/>
      <c r="I447" s="1512"/>
      <c r="J447" s="1512"/>
      <c r="K447" s="1635" t="str">
        <f t="shared" si="36"/>
        <v/>
      </c>
      <c r="L447" s="1633"/>
      <c r="M447" s="1512"/>
      <c r="N447" s="1513" t="str">
        <f t="shared" si="37"/>
        <v/>
      </c>
      <c r="O447" s="1682" t="str">
        <f t="shared" si="38"/>
        <v/>
      </c>
      <c r="P447" s="1512"/>
      <c r="Q447" s="1513" t="str">
        <f t="shared" si="39"/>
        <v/>
      </c>
      <c r="R447" s="1683" t="str">
        <f t="shared" si="40"/>
        <v/>
      </c>
      <c r="S447" s="1512"/>
      <c r="T447" s="1513" t="str">
        <f t="shared" si="41"/>
        <v/>
      </c>
      <c r="U447" s="1512"/>
      <c r="V447" s="1512"/>
      <c r="W447" s="1638"/>
    </row>
    <row r="448" spans="2:23" s="1514" customFormat="1" x14ac:dyDescent="0.2">
      <c r="B448" s="1640"/>
      <c r="C448" s="1517"/>
      <c r="D448" s="1516"/>
      <c r="E448" s="1518"/>
      <c r="F448" s="1510"/>
      <c r="G448" s="1510"/>
      <c r="H448" s="1510"/>
      <c r="I448" s="1512"/>
      <c r="J448" s="1512"/>
      <c r="K448" s="1635" t="str">
        <f t="shared" si="36"/>
        <v/>
      </c>
      <c r="L448" s="1633"/>
      <c r="M448" s="1512"/>
      <c r="N448" s="1513" t="str">
        <f t="shared" si="37"/>
        <v/>
      </c>
      <c r="O448" s="1682" t="str">
        <f t="shared" si="38"/>
        <v/>
      </c>
      <c r="P448" s="1512"/>
      <c r="Q448" s="1513" t="str">
        <f t="shared" si="39"/>
        <v/>
      </c>
      <c r="R448" s="1683" t="str">
        <f t="shared" si="40"/>
        <v/>
      </c>
      <c r="S448" s="1512"/>
      <c r="T448" s="1513" t="str">
        <f t="shared" si="41"/>
        <v/>
      </c>
      <c r="U448" s="1512"/>
      <c r="V448" s="1512"/>
      <c r="W448" s="1638"/>
    </row>
    <row r="449" spans="2:23" s="1514" customFormat="1" x14ac:dyDescent="0.2">
      <c r="B449" s="1640"/>
      <c r="C449" s="1517"/>
      <c r="D449" s="1516"/>
      <c r="E449" s="1518"/>
      <c r="F449" s="1510"/>
      <c r="G449" s="1510"/>
      <c r="H449" s="1510"/>
      <c r="I449" s="1512"/>
      <c r="J449" s="1512"/>
      <c r="K449" s="1635" t="str">
        <f t="shared" si="36"/>
        <v/>
      </c>
      <c r="L449" s="1633"/>
      <c r="M449" s="1512"/>
      <c r="N449" s="1513" t="str">
        <f t="shared" si="37"/>
        <v/>
      </c>
      <c r="O449" s="1682" t="str">
        <f t="shared" si="38"/>
        <v/>
      </c>
      <c r="P449" s="1512"/>
      <c r="Q449" s="1513" t="str">
        <f t="shared" si="39"/>
        <v/>
      </c>
      <c r="R449" s="1683" t="str">
        <f t="shared" si="40"/>
        <v/>
      </c>
      <c r="S449" s="1512"/>
      <c r="T449" s="1513" t="str">
        <f t="shared" si="41"/>
        <v/>
      </c>
      <c r="U449" s="1512"/>
      <c r="V449" s="1512"/>
      <c r="W449" s="1638"/>
    </row>
    <row r="450" spans="2:23" s="1514" customFormat="1" x14ac:dyDescent="0.2">
      <c r="B450" s="1534"/>
      <c r="C450" s="1535"/>
      <c r="D450" s="1534"/>
      <c r="E450" s="1518"/>
      <c r="F450" s="1510"/>
      <c r="G450" s="1510"/>
      <c r="H450" s="1510"/>
      <c r="I450" s="1512"/>
      <c r="J450" s="1512"/>
      <c r="K450" s="1635" t="str">
        <f t="shared" si="36"/>
        <v/>
      </c>
      <c r="L450" s="1633"/>
      <c r="M450" s="1512"/>
      <c r="N450" s="1513" t="str">
        <f t="shared" si="37"/>
        <v/>
      </c>
      <c r="O450" s="1682" t="str">
        <f t="shared" si="38"/>
        <v/>
      </c>
      <c r="P450" s="1512"/>
      <c r="Q450" s="1513" t="str">
        <f t="shared" si="39"/>
        <v/>
      </c>
      <c r="R450" s="1683" t="str">
        <f t="shared" si="40"/>
        <v/>
      </c>
      <c r="S450" s="1512"/>
      <c r="T450" s="1513" t="str">
        <f t="shared" si="41"/>
        <v/>
      </c>
      <c r="U450" s="1512"/>
      <c r="V450" s="1512"/>
      <c r="W450" s="1638"/>
    </row>
    <row r="451" spans="2:23" x14ac:dyDescent="0.2">
      <c r="B451" s="952"/>
      <c r="C451" s="952"/>
      <c r="D451" s="952"/>
      <c r="K451" s="953"/>
      <c r="L451" s="954"/>
      <c r="N451" s="956"/>
      <c r="O451" s="954"/>
      <c r="Q451" s="956"/>
      <c r="T451" s="956"/>
      <c r="U451" s="954"/>
      <c r="W451" s="957"/>
    </row>
    <row r="452" spans="2:23" x14ac:dyDescent="0.2">
      <c r="B452" s="952"/>
      <c r="C452" s="952"/>
      <c r="D452" s="952"/>
    </row>
    <row r="453" spans="2:23" x14ac:dyDescent="0.2">
      <c r="B453" s="2457" t="s">
        <v>463</v>
      </c>
      <c r="C453" s="2458"/>
      <c r="D453" s="958" t="s">
        <v>811</v>
      </c>
      <c r="E453" s="958" t="s">
        <v>812</v>
      </c>
      <c r="F453" s="959"/>
      <c r="G453" s="959"/>
      <c r="H453" s="959"/>
      <c r="I453" s="959"/>
    </row>
    <row r="454" spans="2:23" ht="23.25" customHeight="1" x14ac:dyDescent="0.2">
      <c r="B454" s="2455"/>
      <c r="C454" s="2456"/>
      <c r="D454" s="1408"/>
      <c r="E454" s="960"/>
      <c r="F454" s="961"/>
      <c r="G454" s="961"/>
      <c r="H454" s="961"/>
      <c r="I454" s="961"/>
    </row>
    <row r="455" spans="2:23" ht="23.25" customHeight="1" x14ac:dyDescent="0.2">
      <c r="B455" s="2455"/>
      <c r="C455" s="2456"/>
      <c r="D455" s="1408"/>
      <c r="E455" s="960"/>
      <c r="F455" s="961"/>
      <c r="G455" s="961"/>
      <c r="H455" s="961"/>
      <c r="I455" s="961"/>
    </row>
    <row r="456" spans="2:23" ht="23.25" customHeight="1" x14ac:dyDescent="0.2">
      <c r="B456" s="2455"/>
      <c r="C456" s="2456"/>
      <c r="D456" s="1408"/>
      <c r="E456" s="960"/>
      <c r="F456" s="961"/>
      <c r="G456" s="961"/>
      <c r="H456" s="961"/>
      <c r="I456" s="961"/>
    </row>
    <row r="457" spans="2:23" ht="23.25" customHeight="1" x14ac:dyDescent="0.2">
      <c r="B457" s="2455"/>
      <c r="C457" s="2456"/>
      <c r="D457" s="1408"/>
      <c r="E457" s="960"/>
      <c r="F457" s="961"/>
      <c r="G457" s="961"/>
      <c r="H457" s="961"/>
      <c r="I457" s="961"/>
    </row>
    <row r="458" spans="2:23" ht="23.25" customHeight="1" x14ac:dyDescent="0.2">
      <c r="B458" s="2455"/>
      <c r="C458" s="2456"/>
      <c r="D458" s="1408"/>
      <c r="E458" s="960"/>
      <c r="F458" s="961"/>
      <c r="G458" s="961"/>
      <c r="H458" s="961"/>
      <c r="I458" s="961"/>
    </row>
    <row r="459" spans="2:23" ht="23.25" customHeight="1" x14ac:dyDescent="0.2">
      <c r="B459" s="2455"/>
      <c r="C459" s="2456"/>
      <c r="D459" s="1408"/>
      <c r="E459" s="960"/>
      <c r="F459" s="961"/>
      <c r="G459" s="961"/>
      <c r="H459" s="961"/>
      <c r="I459" s="961"/>
    </row>
    <row r="460" spans="2:23" ht="23.25" customHeight="1" x14ac:dyDescent="0.2">
      <c r="B460" s="2455"/>
      <c r="C460" s="2456"/>
      <c r="D460" s="1408"/>
      <c r="E460" s="960"/>
      <c r="F460" s="961"/>
      <c r="G460" s="961"/>
      <c r="H460" s="961"/>
      <c r="I460" s="961"/>
    </row>
    <row r="461" spans="2:23" ht="23.25" customHeight="1" x14ac:dyDescent="0.2">
      <c r="B461" s="2455"/>
      <c r="C461" s="2456"/>
      <c r="D461" s="1408"/>
      <c r="E461" s="960"/>
      <c r="F461" s="961"/>
      <c r="G461" s="961"/>
      <c r="H461" s="961"/>
      <c r="I461" s="961"/>
    </row>
    <row r="462" spans="2:23" ht="23.25" customHeight="1" x14ac:dyDescent="0.2">
      <c r="B462" s="2455"/>
      <c r="C462" s="2456"/>
      <c r="D462" s="1408"/>
      <c r="E462" s="960"/>
      <c r="F462" s="961"/>
      <c r="G462" s="961"/>
      <c r="H462" s="961"/>
      <c r="I462" s="961"/>
    </row>
    <row r="463" spans="2:23" ht="23.25" customHeight="1" x14ac:dyDescent="0.2">
      <c r="B463" s="2455"/>
      <c r="C463" s="2456"/>
      <c r="D463" s="1408"/>
      <c r="E463" s="960"/>
      <c r="F463" s="961"/>
      <c r="G463" s="961"/>
      <c r="H463" s="961"/>
      <c r="I463" s="961"/>
    </row>
    <row r="464" spans="2:23" ht="23.25" customHeight="1" x14ac:dyDescent="0.2">
      <c r="B464" s="2455"/>
      <c r="C464" s="2456"/>
      <c r="D464" s="1408"/>
      <c r="E464" s="960"/>
      <c r="F464" s="961"/>
      <c r="G464" s="961"/>
      <c r="H464" s="961"/>
      <c r="I464" s="961"/>
    </row>
    <row r="465" spans="2:9" ht="23.25" customHeight="1" x14ac:dyDescent="0.2">
      <c r="B465" s="2455"/>
      <c r="C465" s="2456"/>
      <c r="D465" s="1408"/>
      <c r="E465" s="960"/>
      <c r="F465" s="961"/>
      <c r="G465" s="961"/>
      <c r="H465" s="961"/>
      <c r="I465" s="961"/>
    </row>
    <row r="466" spans="2:9" ht="23.25" customHeight="1" x14ac:dyDescent="0.2">
      <c r="B466" s="2455"/>
      <c r="C466" s="2456"/>
      <c r="D466" s="1408"/>
      <c r="E466" s="960"/>
      <c r="F466" s="961"/>
      <c r="G466" s="961"/>
      <c r="H466" s="961"/>
      <c r="I466" s="961"/>
    </row>
    <row r="467" spans="2:9" ht="23.25" customHeight="1" x14ac:dyDescent="0.2">
      <c r="B467" s="2455"/>
      <c r="C467" s="2456"/>
      <c r="D467" s="1408"/>
      <c r="E467" s="960"/>
      <c r="F467" s="961"/>
      <c r="G467" s="961"/>
      <c r="H467" s="961"/>
      <c r="I467" s="961"/>
    </row>
    <row r="468" spans="2:9" ht="23.25" customHeight="1" x14ac:dyDescent="0.2">
      <c r="B468" s="2455"/>
      <c r="C468" s="2456"/>
      <c r="D468" s="1408"/>
      <c r="E468" s="960"/>
      <c r="F468" s="961"/>
      <c r="G468" s="961"/>
      <c r="H468" s="961"/>
      <c r="I468" s="961"/>
    </row>
    <row r="469" spans="2:9" ht="23.25" customHeight="1" x14ac:dyDescent="0.2">
      <c r="B469" s="2455"/>
      <c r="C469" s="2456"/>
      <c r="D469" s="1408"/>
      <c r="E469" s="960"/>
      <c r="F469" s="961"/>
      <c r="G469" s="961"/>
      <c r="H469" s="961"/>
    </row>
    <row r="470" spans="2:9" ht="23.25" customHeight="1" x14ac:dyDescent="0.2">
      <c r="B470" s="2455"/>
      <c r="C470" s="2456"/>
      <c r="D470" s="1408"/>
      <c r="E470" s="960"/>
      <c r="F470" s="961"/>
      <c r="G470" s="961"/>
      <c r="H470" s="961"/>
    </row>
    <row r="471" spans="2:9" ht="23.25" customHeight="1" x14ac:dyDescent="0.2">
      <c r="B471" s="2455"/>
      <c r="C471" s="2456"/>
      <c r="D471" s="1408"/>
      <c r="E471" s="960"/>
      <c r="F471" s="961"/>
      <c r="G471" s="961"/>
      <c r="H471" s="961"/>
    </row>
    <row r="472" spans="2:9" x14ac:dyDescent="0.2">
      <c r="B472" s="2455"/>
      <c r="C472" s="2456"/>
      <c r="D472" s="1408"/>
      <c r="E472" s="960"/>
      <c r="F472" s="961"/>
      <c r="G472" s="961"/>
      <c r="H472" s="961"/>
    </row>
    <row r="473" spans="2:9" x14ac:dyDescent="0.2">
      <c r="B473" s="2455"/>
      <c r="C473" s="2456"/>
      <c r="D473" s="1408"/>
      <c r="E473" s="960"/>
      <c r="F473" s="961"/>
      <c r="G473" s="961"/>
      <c r="H473" s="961"/>
    </row>
    <row r="474" spans="2:9" x14ac:dyDescent="0.2">
      <c r="B474" s="2455"/>
      <c r="C474" s="2456"/>
      <c r="D474" s="1408"/>
      <c r="E474" s="960"/>
      <c r="F474" s="961"/>
      <c r="G474" s="961"/>
      <c r="H474" s="961"/>
    </row>
    <row r="475" spans="2:9" x14ac:dyDescent="0.2">
      <c r="B475" s="2455"/>
      <c r="C475" s="2456"/>
      <c r="D475" s="1408"/>
      <c r="E475" s="960"/>
      <c r="F475" s="961"/>
      <c r="G475" s="961"/>
      <c r="H475" s="961"/>
    </row>
    <row r="476" spans="2:9" x14ac:dyDescent="0.2">
      <c r="B476" s="2455"/>
      <c r="C476" s="2456"/>
      <c r="D476" s="1408"/>
      <c r="E476" s="960"/>
      <c r="F476" s="961"/>
      <c r="G476" s="961"/>
      <c r="H476" s="961"/>
    </row>
    <row r="477" spans="2:9" x14ac:dyDescent="0.2">
      <c r="B477" s="2455"/>
      <c r="C477" s="2456"/>
      <c r="D477" s="1408"/>
      <c r="E477" s="960"/>
      <c r="F477" s="961"/>
      <c r="G477" s="961"/>
      <c r="H477" s="961"/>
    </row>
    <row r="478" spans="2:9" x14ac:dyDescent="0.2">
      <c r="B478" s="2455"/>
      <c r="C478" s="2456"/>
      <c r="D478" s="1408"/>
      <c r="E478" s="960"/>
      <c r="F478" s="961"/>
      <c r="G478" s="961"/>
      <c r="H478" s="961"/>
    </row>
    <row r="479" spans="2:9" x14ac:dyDescent="0.2">
      <c r="B479" s="2455"/>
      <c r="C479" s="2456"/>
      <c r="D479" s="1408"/>
      <c r="E479" s="960"/>
      <c r="F479" s="961"/>
      <c r="G479" s="961"/>
      <c r="H479" s="961"/>
    </row>
    <row r="480" spans="2:9" x14ac:dyDescent="0.2">
      <c r="B480" s="2455"/>
      <c r="C480" s="2456"/>
      <c r="D480" s="1408"/>
      <c r="E480" s="960"/>
      <c r="F480" s="961"/>
      <c r="G480" s="961"/>
      <c r="H480" s="961"/>
    </row>
    <row r="481" spans="2:8" x14ac:dyDescent="0.2">
      <c r="B481" s="2455"/>
      <c r="C481" s="2456"/>
      <c r="D481" s="1408"/>
      <c r="E481" s="960"/>
      <c r="F481" s="961"/>
      <c r="G481" s="961"/>
      <c r="H481" s="961"/>
    </row>
    <row r="482" spans="2:8" x14ac:dyDescent="0.2">
      <c r="B482" s="2455"/>
      <c r="C482" s="2456"/>
      <c r="D482" s="1408"/>
      <c r="E482" s="960"/>
      <c r="F482" s="961"/>
      <c r="G482" s="961"/>
      <c r="H482" s="961"/>
    </row>
    <row r="483" spans="2:8" x14ac:dyDescent="0.2">
      <c r="B483" s="2455"/>
      <c r="C483" s="2456"/>
      <c r="D483" s="1408"/>
      <c r="E483" s="960"/>
      <c r="F483" s="961"/>
      <c r="G483" s="961"/>
      <c r="H483" s="961"/>
    </row>
    <row r="484" spans="2:8" x14ac:dyDescent="0.2">
      <c r="B484" s="2455"/>
      <c r="C484" s="2456"/>
      <c r="D484" s="1408"/>
      <c r="E484" s="960"/>
      <c r="F484" s="961"/>
      <c r="G484" s="961"/>
      <c r="H484" s="961"/>
    </row>
    <row r="485" spans="2:8" x14ac:dyDescent="0.2">
      <c r="B485" s="2455"/>
      <c r="C485" s="2456"/>
      <c r="D485" s="1408"/>
      <c r="E485" s="960"/>
      <c r="F485" s="961"/>
      <c r="G485" s="961"/>
      <c r="H485" s="961"/>
    </row>
    <row r="486" spans="2:8" x14ac:dyDescent="0.2">
      <c r="B486" s="2455"/>
      <c r="C486" s="2456"/>
      <c r="D486" s="1408"/>
      <c r="E486" s="960"/>
      <c r="F486" s="961"/>
      <c r="G486" s="961"/>
      <c r="H486" s="961"/>
    </row>
    <row r="487" spans="2:8" x14ac:dyDescent="0.2">
      <c r="B487" s="2455"/>
      <c r="C487" s="2456"/>
      <c r="D487" s="1408"/>
      <c r="E487" s="960"/>
      <c r="F487" s="961"/>
      <c r="G487" s="961"/>
      <c r="H487" s="961"/>
    </row>
    <row r="488" spans="2:8" x14ac:dyDescent="0.2">
      <c r="B488" s="2455"/>
      <c r="C488" s="2456"/>
      <c r="D488" s="1408"/>
      <c r="E488" s="960"/>
      <c r="F488" s="961"/>
      <c r="G488" s="961"/>
      <c r="H488" s="961"/>
    </row>
    <row r="489" spans="2:8" x14ac:dyDescent="0.2">
      <c r="B489" s="2455"/>
      <c r="C489" s="2456"/>
      <c r="D489" s="1408"/>
      <c r="E489" s="960"/>
      <c r="F489" s="961"/>
      <c r="G489" s="961"/>
      <c r="H489" s="961"/>
    </row>
    <row r="490" spans="2:8" x14ac:dyDescent="0.2">
      <c r="B490" s="2455"/>
      <c r="C490" s="2456"/>
      <c r="D490" s="1408"/>
      <c r="E490" s="960"/>
      <c r="F490" s="961"/>
      <c r="G490" s="961"/>
      <c r="H490" s="961"/>
    </row>
    <row r="491" spans="2:8" x14ac:dyDescent="0.2">
      <c r="B491" s="2455"/>
      <c r="C491" s="2456"/>
      <c r="D491" s="1408"/>
      <c r="E491" s="960"/>
      <c r="F491" s="961"/>
      <c r="G491" s="961"/>
      <c r="H491" s="961"/>
    </row>
    <row r="492" spans="2:8" x14ac:dyDescent="0.2">
      <c r="B492" s="2455"/>
      <c r="C492" s="2456"/>
      <c r="D492" s="1408"/>
      <c r="E492" s="960"/>
      <c r="F492" s="961"/>
      <c r="G492" s="961"/>
      <c r="H492" s="961"/>
    </row>
    <row r="493" spans="2:8" x14ac:dyDescent="0.2">
      <c r="B493" s="2455"/>
      <c r="C493" s="2456"/>
      <c r="D493" s="1408"/>
      <c r="E493" s="960"/>
      <c r="F493" s="961"/>
      <c r="G493" s="961"/>
      <c r="H493" s="961"/>
    </row>
    <row r="494" spans="2:8" x14ac:dyDescent="0.2">
      <c r="D494" s="952"/>
    </row>
    <row r="495" spans="2:8" x14ac:dyDescent="0.2">
      <c r="D495" s="952"/>
    </row>
    <row r="496" spans="2:8" x14ac:dyDescent="0.2">
      <c r="D496" s="952"/>
    </row>
    <row r="497" spans="4:4" x14ac:dyDescent="0.2">
      <c r="D497" s="952"/>
    </row>
    <row r="498" spans="4:4" x14ac:dyDescent="0.2">
      <c r="D498" s="952"/>
    </row>
    <row r="499" spans="4:4" x14ac:dyDescent="0.2">
      <c r="D499" s="952"/>
    </row>
    <row r="500" spans="4:4" x14ac:dyDescent="0.2">
      <c r="D500" s="952"/>
    </row>
    <row r="501" spans="4:4" x14ac:dyDescent="0.2">
      <c r="D501" s="952"/>
    </row>
    <row r="502" spans="4:4" x14ac:dyDescent="0.2">
      <c r="D502" s="952"/>
    </row>
    <row r="503" spans="4:4" x14ac:dyDescent="0.2">
      <c r="D503" s="952"/>
    </row>
    <row r="504" spans="4:4" x14ac:dyDescent="0.2">
      <c r="D504" s="952"/>
    </row>
    <row r="505" spans="4:4" x14ac:dyDescent="0.2">
      <c r="D505" s="952"/>
    </row>
    <row r="506" spans="4:4" x14ac:dyDescent="0.2">
      <c r="D506" s="952"/>
    </row>
    <row r="507" spans="4:4" x14ac:dyDescent="0.2">
      <c r="D507" s="952"/>
    </row>
    <row r="508" spans="4:4" x14ac:dyDescent="0.2">
      <c r="D508" s="952"/>
    </row>
    <row r="509" spans="4:4" x14ac:dyDescent="0.2">
      <c r="D509" s="952"/>
    </row>
    <row r="510" spans="4:4" x14ac:dyDescent="0.2">
      <c r="D510" s="952"/>
    </row>
    <row r="511" spans="4:4" x14ac:dyDescent="0.2">
      <c r="D511" s="952"/>
    </row>
    <row r="512" spans="4:4" x14ac:dyDescent="0.2">
      <c r="D512" s="952"/>
    </row>
    <row r="513" spans="4:4" x14ac:dyDescent="0.2">
      <c r="D513" s="952"/>
    </row>
    <row r="514" spans="4:4" x14ac:dyDescent="0.2">
      <c r="D514" s="952"/>
    </row>
    <row r="515" spans="4:4" x14ac:dyDescent="0.2">
      <c r="D515" s="952"/>
    </row>
    <row r="516" spans="4:4" x14ac:dyDescent="0.2">
      <c r="D516" s="952"/>
    </row>
    <row r="517" spans="4:4" x14ac:dyDescent="0.2">
      <c r="D517" s="952"/>
    </row>
    <row r="518" spans="4:4" x14ac:dyDescent="0.2">
      <c r="D518" s="952"/>
    </row>
    <row r="519" spans="4:4" x14ac:dyDescent="0.2">
      <c r="D519" s="952"/>
    </row>
    <row r="520" spans="4:4" x14ac:dyDescent="0.2">
      <c r="D520" s="952"/>
    </row>
    <row r="521" spans="4:4" x14ac:dyDescent="0.2">
      <c r="D521" s="952"/>
    </row>
    <row r="522" spans="4:4" x14ac:dyDescent="0.2">
      <c r="D522" s="952"/>
    </row>
    <row r="523" spans="4:4" x14ac:dyDescent="0.2">
      <c r="D523" s="952"/>
    </row>
    <row r="524" spans="4:4" x14ac:dyDescent="0.2">
      <c r="D524" s="952"/>
    </row>
    <row r="525" spans="4:4" x14ac:dyDescent="0.2">
      <c r="D525" s="952"/>
    </row>
    <row r="620" spans="2:23" s="967" customFormat="1" x14ac:dyDescent="0.2">
      <c r="B620" s="962" t="s">
        <v>1537</v>
      </c>
      <c r="C620" s="963"/>
      <c r="D620" s="964"/>
      <c r="E620" s="964"/>
      <c r="F620" s="964"/>
      <c r="G620" s="964"/>
      <c r="H620" s="964"/>
      <c r="I620" s="964"/>
      <c r="J620" s="964"/>
      <c r="K620" s="964"/>
      <c r="L620" s="965"/>
      <c r="M620" s="963"/>
      <c r="N620" s="963"/>
      <c r="O620" s="965"/>
      <c r="P620" s="963"/>
      <c r="Q620" s="963"/>
      <c r="R620" s="963"/>
      <c r="S620" s="963"/>
      <c r="T620" s="963"/>
      <c r="U620" s="966"/>
      <c r="V620" s="963"/>
      <c r="W620" s="963"/>
    </row>
    <row r="621" spans="2:23" s="967" customFormat="1" x14ac:dyDescent="0.2">
      <c r="B621" s="968" t="s">
        <v>1743</v>
      </c>
      <c r="C621" s="963"/>
      <c r="D621" s="964"/>
      <c r="E621" s="964"/>
      <c r="F621" s="964"/>
      <c r="G621" s="964"/>
      <c r="H621" s="964"/>
      <c r="I621" s="964"/>
      <c r="J621" s="964"/>
      <c r="K621" s="964"/>
      <c r="L621" s="965"/>
      <c r="M621" s="963"/>
      <c r="N621" s="963"/>
      <c r="O621" s="965"/>
      <c r="P621" s="963"/>
      <c r="Q621" s="963"/>
      <c r="R621" s="963"/>
      <c r="S621" s="963"/>
      <c r="T621" s="963"/>
      <c r="U621" s="966"/>
      <c r="V621" s="963"/>
      <c r="W621" s="963"/>
    </row>
    <row r="622" spans="2:23" s="967" customFormat="1" x14ac:dyDescent="0.2">
      <c r="B622" s="962"/>
      <c r="C622" s="963"/>
      <c r="D622" s="964"/>
      <c r="E622" s="964"/>
      <c r="F622" s="964"/>
      <c r="G622" s="964"/>
      <c r="H622" s="964"/>
      <c r="I622" s="964"/>
      <c r="J622" s="964"/>
      <c r="K622" s="964"/>
      <c r="L622" s="965"/>
      <c r="M622" s="963"/>
      <c r="N622" s="963"/>
      <c r="O622" s="965"/>
      <c r="P622" s="963"/>
      <c r="Q622" s="963"/>
      <c r="R622" s="963"/>
      <c r="S622" s="963"/>
      <c r="T622" s="963"/>
      <c r="U622" s="966"/>
      <c r="V622" s="963"/>
      <c r="W622" s="963"/>
    </row>
  </sheetData>
  <sheetProtection algorithmName="SHA-512" hashValue="KltmFskIJuGSv8vHai2AOzDoFRHurUe0NiJCzfTwddx5/3MeiCp33uTDsrxm3hixtYi7DPgP/4tX+fU9Whu9QA==" saltValue="rhEX1hOAIGm2uTb/0TYiuw==" spinCount="100000" sheet="1" autoFilter="0" pivotTables="0"/>
  <autoFilter ref="A24:AV450" xr:uid="{00000000-0009-0000-0000-00000D000000}"/>
  <mergeCells count="94">
    <mergeCell ref="P21:Q21"/>
    <mergeCell ref="T15:W15"/>
    <mergeCell ref="L18:L19"/>
    <mergeCell ref="M18:N19"/>
    <mergeCell ref="V23:V24"/>
    <mergeCell ref="V21:W21"/>
    <mergeCell ref="U22:W22"/>
    <mergeCell ref="T23:T24"/>
    <mergeCell ref="R22:T22"/>
    <mergeCell ref="R23:R24"/>
    <mergeCell ref="B462:C462"/>
    <mergeCell ref="E15:E24"/>
    <mergeCell ref="B459:C459"/>
    <mergeCell ref="S21:T21"/>
    <mergeCell ref="S23:S24"/>
    <mergeCell ref="I15:I16"/>
    <mergeCell ref="J15:K16"/>
    <mergeCell ref="L15:L16"/>
    <mergeCell ref="M15:N16"/>
    <mergeCell ref="B460:C460"/>
    <mergeCell ref="B461:C461"/>
    <mergeCell ref="B457:C457"/>
    <mergeCell ref="B15:B24"/>
    <mergeCell ref="C15:C24"/>
    <mergeCell ref="D15:D24"/>
    <mergeCell ref="B458:C458"/>
    <mergeCell ref="B474:C474"/>
    <mergeCell ref="B463:C463"/>
    <mergeCell ref="B464:C464"/>
    <mergeCell ref="B465:C465"/>
    <mergeCell ref="B466:C466"/>
    <mergeCell ref="B467:C467"/>
    <mergeCell ref="B468:C468"/>
    <mergeCell ref="B469:C469"/>
    <mergeCell ref="B470:C470"/>
    <mergeCell ref="B471:C471"/>
    <mergeCell ref="B472:C472"/>
    <mergeCell ref="B473:C473"/>
    <mergeCell ref="B486:C486"/>
    <mergeCell ref="B475:C475"/>
    <mergeCell ref="B476:C476"/>
    <mergeCell ref="B477:C477"/>
    <mergeCell ref="B478:C478"/>
    <mergeCell ref="B479:C479"/>
    <mergeCell ref="B480:C480"/>
    <mergeCell ref="B481:C481"/>
    <mergeCell ref="B482:C482"/>
    <mergeCell ref="B483:C483"/>
    <mergeCell ref="B484:C484"/>
    <mergeCell ref="B485:C485"/>
    <mergeCell ref="B493:C493"/>
    <mergeCell ref="B487:C487"/>
    <mergeCell ref="B488:C488"/>
    <mergeCell ref="B489:C489"/>
    <mergeCell ref="B490:C490"/>
    <mergeCell ref="B491:C491"/>
    <mergeCell ref="B492:C492"/>
    <mergeCell ref="B456:C456"/>
    <mergeCell ref="B453:C453"/>
    <mergeCell ref="B454:C454"/>
    <mergeCell ref="B455:C455"/>
    <mergeCell ref="C8:D8"/>
    <mergeCell ref="C9:D9"/>
    <mergeCell ref="B12:X12"/>
    <mergeCell ref="M23:M24"/>
    <mergeCell ref="M17:N17"/>
    <mergeCell ref="J17:K17"/>
    <mergeCell ref="I20:K20"/>
    <mergeCell ref="L20:N20"/>
    <mergeCell ref="I18:I19"/>
    <mergeCell ref="J18:K19"/>
    <mergeCell ref="I14:N14"/>
    <mergeCell ref="U23:U24"/>
    <mergeCell ref="G15:G24"/>
    <mergeCell ref="F15:F24"/>
    <mergeCell ref="P15:R15"/>
    <mergeCell ref="H15:H24"/>
    <mergeCell ref="Q23:Q24"/>
    <mergeCell ref="M21:N21"/>
    <mergeCell ref="I21:K22"/>
    <mergeCell ref="K23:K24"/>
    <mergeCell ref="N23:N24"/>
    <mergeCell ref="L22:N22"/>
    <mergeCell ref="O22:Q22"/>
    <mergeCell ref="L23:L24"/>
    <mergeCell ref="I23:I24"/>
    <mergeCell ref="J23:J24"/>
    <mergeCell ref="O23:O24"/>
    <mergeCell ref="P23:P24"/>
    <mergeCell ref="B2:B3"/>
    <mergeCell ref="W2:W3"/>
    <mergeCell ref="C2:V3"/>
    <mergeCell ref="C5:F5"/>
    <mergeCell ref="C7:D7"/>
  </mergeCells>
  <conditionalFormatting sqref="B2:C2">
    <cfRule type="cellIs" dxfId="62" priority="5" operator="equal">
      <formula>"ERROR"</formula>
    </cfRule>
  </conditionalFormatting>
  <conditionalFormatting sqref="E389">
    <cfRule type="containsText" dxfId="61" priority="38" stopIfTrue="1" operator="containsText" text="Secretaría de Gestión del Riesgo">
      <formula>NOT(ISERROR(SEARCH("Secretaría de Gestión del Riesgo",E389)))</formula>
    </cfRule>
  </conditionalFormatting>
  <conditionalFormatting sqref="J17">
    <cfRule type="cellIs" dxfId="60" priority="9" operator="between">
      <formula>0.75</formula>
      <formula>1</formula>
    </cfRule>
    <cfRule type="cellIs" dxfId="59" priority="11" operator="between">
      <formula>0</formula>
      <formula>0.749</formula>
    </cfRule>
  </conditionalFormatting>
  <conditionalFormatting sqref="J18">
    <cfRule type="containsText" dxfId="58" priority="6" operator="containsText" text="INEFICAZ">
      <formula>NOT(ISERROR(SEARCH("INEFICAZ",J18)))</formula>
    </cfRule>
    <cfRule type="containsText" dxfId="57" priority="7" operator="containsText" text="EFICAZ">
      <formula>NOT(ISERROR(SEARCH("EFICAZ",J18)))</formula>
    </cfRule>
  </conditionalFormatting>
  <conditionalFormatting sqref="M17">
    <cfRule type="cellIs" dxfId="56" priority="14" operator="between">
      <formula>0.75</formula>
      <formula>1</formula>
    </cfRule>
    <cfRule type="cellIs" dxfId="55" priority="27" operator="between">
      <formula>0</formula>
      <formula>0.749</formula>
    </cfRule>
  </conditionalFormatting>
  <conditionalFormatting sqref="M18">
    <cfRule type="containsText" dxfId="54" priority="12" operator="containsText" text="INEFICIENTE">
      <formula>NOT(ISERROR(SEARCH("INEFICIENTE",M18)))</formula>
    </cfRule>
    <cfRule type="containsText" dxfId="53" priority="13" operator="containsText" text="EFICIENTE">
      <formula>NOT(ISERROR(SEARCH("EFICIENTE",M18)))</formula>
    </cfRule>
  </conditionalFormatting>
  <conditionalFormatting sqref="O11 O14">
    <cfRule type="cellIs" dxfId="52" priority="1" operator="between">
      <formula>""""""</formula>
      <formula>""""""</formula>
    </cfRule>
    <cfRule type="cellIs" dxfId="51" priority="2" operator="between">
      <formula>""""""</formula>
      <formula>""""""</formula>
    </cfRule>
    <cfRule type="beginsWith" dxfId="50" priority="4" operator="beginsWith" text="PLAN ESTRATEGICO INSTITUCIONAL o CORPORATIVO">
      <formula>LEFT(O11,LEN("PLAN ESTRATEGICO INSTITUCIONAL o CORPORATIVO"))="PLAN ESTRATEGICO INSTITUCIONAL o CORPORATIVO"</formula>
    </cfRule>
  </conditionalFormatting>
  <conditionalFormatting sqref="Q17:Q18">
    <cfRule type="cellIs" dxfId="49" priority="20" operator="between">
      <formula>0</formula>
      <formula>74.99</formula>
    </cfRule>
  </conditionalFormatting>
  <conditionalFormatting sqref="Q17:R18">
    <cfRule type="containsText" dxfId="48" priority="16" operator="containsText" text="No Aplica">
      <formula>NOT(ISERROR(SEARCH("No Aplica",Q17)))</formula>
    </cfRule>
  </conditionalFormatting>
  <conditionalFormatting sqref="R17">
    <cfRule type="containsText" dxfId="47" priority="24" operator="containsText" text="INEFICAZ">
      <formula>NOT(ISERROR(SEARCH("INEFICAZ",R17)))</formula>
    </cfRule>
    <cfRule type="containsText" dxfId="46" priority="25" operator="containsText" text="EFICAZ">
      <formula>NOT(ISERROR(SEARCH("EFICAZ",R17)))</formula>
    </cfRule>
  </conditionalFormatting>
  <conditionalFormatting sqref="R18">
    <cfRule type="containsText" dxfId="45" priority="22" operator="containsText" text="INEFICIENTE">
      <formula>NOT(ISERROR(SEARCH("INEFICIENTE",R18)))</formula>
    </cfRule>
    <cfRule type="containsText" dxfId="44" priority="23" operator="containsText" text="EFICIENTE">
      <formula>NOT(ISERROR(SEARCH("EFICIENTE",R18)))</formula>
    </cfRule>
  </conditionalFormatting>
  <dataValidations count="2">
    <dataValidation type="whole" allowBlank="1" showInputMessage="1" showErrorMessage="1" sqref="WVY983273:WVY983586 JI25:JI334 TE25:TE334 ADA25:ADA334 AMW25:AMW334 AWS25:AWS334 BGO25:BGO334 BQK25:BQK334 CAG25:CAG334 CKC25:CKC334 CTY25:CTY334 DDU25:DDU334 DNQ25:DNQ334 DXM25:DXM334 EHI25:EHI334 ERE25:ERE334 FBA25:FBA334 FKW25:FKW334 FUS25:FUS334 GEO25:GEO334 GOK25:GOK334 GYG25:GYG334 HIC25:HIC334 HRY25:HRY334 IBU25:IBU334 ILQ25:ILQ334 IVM25:IVM334 JFI25:JFI334 JPE25:JPE334 JZA25:JZA334 KIW25:KIW334 KSS25:KSS334 LCO25:LCO334 LMK25:LMK334 LWG25:LWG334 MGC25:MGC334 MPY25:MPY334 MZU25:MZU334 NJQ25:NJQ334 NTM25:NTM334 ODI25:ODI334 ONE25:ONE334 OXA25:OXA334 PGW25:PGW334 PQS25:PQS334 QAO25:QAO334 QKK25:QKK334 QUG25:QUG334 REC25:REC334 RNY25:RNY334 RXU25:RXU334 SHQ25:SHQ334 SRM25:SRM334 TBI25:TBI334 TLE25:TLE334 TVA25:TVA334 UEW25:UEW334 UOS25:UOS334 UYO25:UYO334 VIK25:VIK334 VSG25:VSG334 WCC25:WCC334 WLY25:WLY334 WVU25:WVU334 JM65457:JM65766 TI65457:TI65766 ADE65457:ADE65766 ANA65457:ANA65766 AWW65457:AWW65766 BGS65457:BGS65766 BQO65457:BQO65766 CAK65457:CAK65766 CKG65457:CKG65766 CUC65457:CUC65766 DDY65457:DDY65766 DNU65457:DNU65766 DXQ65457:DXQ65766 EHM65457:EHM65766 ERI65457:ERI65766 FBE65457:FBE65766 FLA65457:FLA65766 FUW65457:FUW65766 GES65457:GES65766 GOO65457:GOO65766 GYK65457:GYK65766 HIG65457:HIG65766 HSC65457:HSC65766 IBY65457:IBY65766 ILU65457:ILU65766 IVQ65457:IVQ65766 JFM65457:JFM65766 JPI65457:JPI65766 JZE65457:JZE65766 KJA65457:KJA65766 KSW65457:KSW65766 LCS65457:LCS65766 LMO65457:LMO65766 LWK65457:LWK65766 MGG65457:MGG65766 MQC65457:MQC65766 MZY65457:MZY65766 NJU65457:NJU65766 NTQ65457:NTQ65766 ODM65457:ODM65766 ONI65457:ONI65766 OXE65457:OXE65766 PHA65457:PHA65766 PQW65457:PQW65766 QAS65457:QAS65766 QKO65457:QKO65766 QUK65457:QUK65766 REG65457:REG65766 ROC65457:ROC65766 RXY65457:RXY65766 SHU65457:SHU65766 SRQ65457:SRQ65766 TBM65457:TBM65766 TLI65457:TLI65766 TVE65457:TVE65766 UFA65457:UFA65766 UOW65457:UOW65766 UYS65457:UYS65766 VIO65457:VIO65766 VSK65457:VSK65766 WCG65457:WCG65766 WMC65457:WMC65766 WVY65457:WVY65766 JM130993:JM131302 TI130993:TI131302 ADE130993:ADE131302 ANA130993:ANA131302 AWW130993:AWW131302 BGS130993:BGS131302 BQO130993:BQO131302 CAK130993:CAK131302 CKG130993:CKG131302 CUC130993:CUC131302 DDY130993:DDY131302 DNU130993:DNU131302 DXQ130993:DXQ131302 EHM130993:EHM131302 ERI130993:ERI131302 FBE130993:FBE131302 FLA130993:FLA131302 FUW130993:FUW131302 GES130993:GES131302 GOO130993:GOO131302 GYK130993:GYK131302 HIG130993:HIG131302 HSC130993:HSC131302 IBY130993:IBY131302 ILU130993:ILU131302 IVQ130993:IVQ131302 JFM130993:JFM131302 JPI130993:JPI131302 JZE130993:JZE131302 KJA130993:KJA131302 KSW130993:KSW131302 LCS130993:LCS131302 LMO130993:LMO131302 LWK130993:LWK131302 MGG130993:MGG131302 MQC130993:MQC131302 MZY130993:MZY131302 NJU130993:NJU131302 NTQ130993:NTQ131302 ODM130993:ODM131302 ONI130993:ONI131302 OXE130993:OXE131302 PHA130993:PHA131302 PQW130993:PQW131302 QAS130993:QAS131302 QKO130993:QKO131302 QUK130993:QUK131302 REG130993:REG131302 ROC130993:ROC131302 RXY130993:RXY131302 SHU130993:SHU131302 SRQ130993:SRQ131302 TBM130993:TBM131302 TLI130993:TLI131302 TVE130993:TVE131302 UFA130993:UFA131302 UOW130993:UOW131302 UYS130993:UYS131302 VIO130993:VIO131302 VSK130993:VSK131302 WCG130993:WCG131302 WMC130993:WMC131302 WVY130993:WVY131302 JM196529:JM196838 TI196529:TI196838 ADE196529:ADE196838 ANA196529:ANA196838 AWW196529:AWW196838 BGS196529:BGS196838 BQO196529:BQO196838 CAK196529:CAK196838 CKG196529:CKG196838 CUC196529:CUC196838 DDY196529:DDY196838 DNU196529:DNU196838 DXQ196529:DXQ196838 EHM196529:EHM196838 ERI196529:ERI196838 FBE196529:FBE196838 FLA196529:FLA196838 FUW196529:FUW196838 GES196529:GES196838 GOO196529:GOO196838 GYK196529:GYK196838 HIG196529:HIG196838 HSC196529:HSC196838 IBY196529:IBY196838 ILU196529:ILU196838 IVQ196529:IVQ196838 JFM196529:JFM196838 JPI196529:JPI196838 JZE196529:JZE196838 KJA196529:KJA196838 KSW196529:KSW196838 LCS196529:LCS196838 LMO196529:LMO196838 LWK196529:LWK196838 MGG196529:MGG196838 MQC196529:MQC196838 MZY196529:MZY196838 NJU196529:NJU196838 NTQ196529:NTQ196838 ODM196529:ODM196838 ONI196529:ONI196838 OXE196529:OXE196838 PHA196529:PHA196838 PQW196529:PQW196838 QAS196529:QAS196838 QKO196529:QKO196838 QUK196529:QUK196838 REG196529:REG196838 ROC196529:ROC196838 RXY196529:RXY196838 SHU196529:SHU196838 SRQ196529:SRQ196838 TBM196529:TBM196838 TLI196529:TLI196838 TVE196529:TVE196838 UFA196529:UFA196838 UOW196529:UOW196838 UYS196529:UYS196838 VIO196529:VIO196838 VSK196529:VSK196838 WCG196529:WCG196838 WMC196529:WMC196838 WVY196529:WVY196838 JM262065:JM262374 TI262065:TI262374 ADE262065:ADE262374 ANA262065:ANA262374 AWW262065:AWW262374 BGS262065:BGS262374 BQO262065:BQO262374 CAK262065:CAK262374 CKG262065:CKG262374 CUC262065:CUC262374 DDY262065:DDY262374 DNU262065:DNU262374 DXQ262065:DXQ262374 EHM262065:EHM262374 ERI262065:ERI262374 FBE262065:FBE262374 FLA262065:FLA262374 FUW262065:FUW262374 GES262065:GES262374 GOO262065:GOO262374 GYK262065:GYK262374 HIG262065:HIG262374 HSC262065:HSC262374 IBY262065:IBY262374 ILU262065:ILU262374 IVQ262065:IVQ262374 JFM262065:JFM262374 JPI262065:JPI262374 JZE262065:JZE262374 KJA262065:KJA262374 KSW262065:KSW262374 LCS262065:LCS262374 LMO262065:LMO262374 LWK262065:LWK262374 MGG262065:MGG262374 MQC262065:MQC262374 MZY262065:MZY262374 NJU262065:NJU262374 NTQ262065:NTQ262374 ODM262065:ODM262374 ONI262065:ONI262374 OXE262065:OXE262374 PHA262065:PHA262374 PQW262065:PQW262374 QAS262065:QAS262374 QKO262065:QKO262374 QUK262065:QUK262374 REG262065:REG262374 ROC262065:ROC262374 RXY262065:RXY262374 SHU262065:SHU262374 SRQ262065:SRQ262374 TBM262065:TBM262374 TLI262065:TLI262374 TVE262065:TVE262374 UFA262065:UFA262374 UOW262065:UOW262374 UYS262065:UYS262374 VIO262065:VIO262374 VSK262065:VSK262374 WCG262065:WCG262374 WMC262065:WMC262374 WVY262065:WVY262374 JM327601:JM327910 TI327601:TI327910 ADE327601:ADE327910 ANA327601:ANA327910 AWW327601:AWW327910 BGS327601:BGS327910 BQO327601:BQO327910 CAK327601:CAK327910 CKG327601:CKG327910 CUC327601:CUC327910 DDY327601:DDY327910 DNU327601:DNU327910 DXQ327601:DXQ327910 EHM327601:EHM327910 ERI327601:ERI327910 FBE327601:FBE327910 FLA327601:FLA327910 FUW327601:FUW327910 GES327601:GES327910 GOO327601:GOO327910 GYK327601:GYK327910 HIG327601:HIG327910 HSC327601:HSC327910 IBY327601:IBY327910 ILU327601:ILU327910 IVQ327601:IVQ327910 JFM327601:JFM327910 JPI327601:JPI327910 JZE327601:JZE327910 KJA327601:KJA327910 KSW327601:KSW327910 LCS327601:LCS327910 LMO327601:LMO327910 LWK327601:LWK327910 MGG327601:MGG327910 MQC327601:MQC327910 MZY327601:MZY327910 NJU327601:NJU327910 NTQ327601:NTQ327910 ODM327601:ODM327910 ONI327601:ONI327910 OXE327601:OXE327910 PHA327601:PHA327910 PQW327601:PQW327910 QAS327601:QAS327910 QKO327601:QKO327910 QUK327601:QUK327910 REG327601:REG327910 ROC327601:ROC327910 RXY327601:RXY327910 SHU327601:SHU327910 SRQ327601:SRQ327910 TBM327601:TBM327910 TLI327601:TLI327910 TVE327601:TVE327910 UFA327601:UFA327910 UOW327601:UOW327910 UYS327601:UYS327910 VIO327601:VIO327910 VSK327601:VSK327910 WCG327601:WCG327910 WMC327601:WMC327910 WVY327601:WVY327910 JM393137:JM393446 TI393137:TI393446 ADE393137:ADE393446 ANA393137:ANA393446 AWW393137:AWW393446 BGS393137:BGS393446 BQO393137:BQO393446 CAK393137:CAK393446 CKG393137:CKG393446 CUC393137:CUC393446 DDY393137:DDY393446 DNU393137:DNU393446 DXQ393137:DXQ393446 EHM393137:EHM393446 ERI393137:ERI393446 FBE393137:FBE393446 FLA393137:FLA393446 FUW393137:FUW393446 GES393137:GES393446 GOO393137:GOO393446 GYK393137:GYK393446 HIG393137:HIG393446 HSC393137:HSC393446 IBY393137:IBY393446 ILU393137:ILU393446 IVQ393137:IVQ393446 JFM393137:JFM393446 JPI393137:JPI393446 JZE393137:JZE393446 KJA393137:KJA393446 KSW393137:KSW393446 LCS393137:LCS393446 LMO393137:LMO393446 LWK393137:LWK393446 MGG393137:MGG393446 MQC393137:MQC393446 MZY393137:MZY393446 NJU393137:NJU393446 NTQ393137:NTQ393446 ODM393137:ODM393446 ONI393137:ONI393446 OXE393137:OXE393446 PHA393137:PHA393446 PQW393137:PQW393446 QAS393137:QAS393446 QKO393137:QKO393446 QUK393137:QUK393446 REG393137:REG393446 ROC393137:ROC393446 RXY393137:RXY393446 SHU393137:SHU393446 SRQ393137:SRQ393446 TBM393137:TBM393446 TLI393137:TLI393446 TVE393137:TVE393446 UFA393137:UFA393446 UOW393137:UOW393446 UYS393137:UYS393446 VIO393137:VIO393446 VSK393137:VSK393446 WCG393137:WCG393446 WMC393137:WMC393446 WVY393137:WVY393446 JM458673:JM458982 TI458673:TI458982 ADE458673:ADE458982 ANA458673:ANA458982 AWW458673:AWW458982 BGS458673:BGS458982 BQO458673:BQO458982 CAK458673:CAK458982 CKG458673:CKG458982 CUC458673:CUC458982 DDY458673:DDY458982 DNU458673:DNU458982 DXQ458673:DXQ458982 EHM458673:EHM458982 ERI458673:ERI458982 FBE458673:FBE458982 FLA458673:FLA458982 FUW458673:FUW458982 GES458673:GES458982 GOO458673:GOO458982 GYK458673:GYK458982 HIG458673:HIG458982 HSC458673:HSC458982 IBY458673:IBY458982 ILU458673:ILU458982 IVQ458673:IVQ458982 JFM458673:JFM458982 JPI458673:JPI458982 JZE458673:JZE458982 KJA458673:KJA458982 KSW458673:KSW458982 LCS458673:LCS458982 LMO458673:LMO458982 LWK458673:LWK458982 MGG458673:MGG458982 MQC458673:MQC458982 MZY458673:MZY458982 NJU458673:NJU458982 NTQ458673:NTQ458982 ODM458673:ODM458982 ONI458673:ONI458982 OXE458673:OXE458982 PHA458673:PHA458982 PQW458673:PQW458982 QAS458673:QAS458982 QKO458673:QKO458982 QUK458673:QUK458982 REG458673:REG458982 ROC458673:ROC458982 RXY458673:RXY458982 SHU458673:SHU458982 SRQ458673:SRQ458982 TBM458673:TBM458982 TLI458673:TLI458982 TVE458673:TVE458982 UFA458673:UFA458982 UOW458673:UOW458982 UYS458673:UYS458982 VIO458673:VIO458982 VSK458673:VSK458982 WCG458673:WCG458982 WMC458673:WMC458982 WVY458673:WVY458982 JM524209:JM524518 TI524209:TI524518 ADE524209:ADE524518 ANA524209:ANA524518 AWW524209:AWW524518 BGS524209:BGS524518 BQO524209:BQO524518 CAK524209:CAK524518 CKG524209:CKG524518 CUC524209:CUC524518 DDY524209:DDY524518 DNU524209:DNU524518 DXQ524209:DXQ524518 EHM524209:EHM524518 ERI524209:ERI524518 FBE524209:FBE524518 FLA524209:FLA524518 FUW524209:FUW524518 GES524209:GES524518 GOO524209:GOO524518 GYK524209:GYK524518 HIG524209:HIG524518 HSC524209:HSC524518 IBY524209:IBY524518 ILU524209:ILU524518 IVQ524209:IVQ524518 JFM524209:JFM524518 JPI524209:JPI524518 JZE524209:JZE524518 KJA524209:KJA524518 KSW524209:KSW524518 LCS524209:LCS524518 LMO524209:LMO524518 LWK524209:LWK524518 MGG524209:MGG524518 MQC524209:MQC524518 MZY524209:MZY524518 NJU524209:NJU524518 NTQ524209:NTQ524518 ODM524209:ODM524518 ONI524209:ONI524518 OXE524209:OXE524518 PHA524209:PHA524518 PQW524209:PQW524518 QAS524209:QAS524518 QKO524209:QKO524518 QUK524209:QUK524518 REG524209:REG524518 ROC524209:ROC524518 RXY524209:RXY524518 SHU524209:SHU524518 SRQ524209:SRQ524518 TBM524209:TBM524518 TLI524209:TLI524518 TVE524209:TVE524518 UFA524209:UFA524518 UOW524209:UOW524518 UYS524209:UYS524518 VIO524209:VIO524518 VSK524209:VSK524518 WCG524209:WCG524518 WMC524209:WMC524518 WVY524209:WVY524518 JM589745:JM590054 TI589745:TI590054 ADE589745:ADE590054 ANA589745:ANA590054 AWW589745:AWW590054 BGS589745:BGS590054 BQO589745:BQO590054 CAK589745:CAK590054 CKG589745:CKG590054 CUC589745:CUC590054 DDY589745:DDY590054 DNU589745:DNU590054 DXQ589745:DXQ590054 EHM589745:EHM590054 ERI589745:ERI590054 FBE589745:FBE590054 FLA589745:FLA590054 FUW589745:FUW590054 GES589745:GES590054 GOO589745:GOO590054 GYK589745:GYK590054 HIG589745:HIG590054 HSC589745:HSC590054 IBY589745:IBY590054 ILU589745:ILU590054 IVQ589745:IVQ590054 JFM589745:JFM590054 JPI589745:JPI590054 JZE589745:JZE590054 KJA589745:KJA590054 KSW589745:KSW590054 LCS589745:LCS590054 LMO589745:LMO590054 LWK589745:LWK590054 MGG589745:MGG590054 MQC589745:MQC590054 MZY589745:MZY590054 NJU589745:NJU590054 NTQ589745:NTQ590054 ODM589745:ODM590054 ONI589745:ONI590054 OXE589745:OXE590054 PHA589745:PHA590054 PQW589745:PQW590054 QAS589745:QAS590054 QKO589745:QKO590054 QUK589745:QUK590054 REG589745:REG590054 ROC589745:ROC590054 RXY589745:RXY590054 SHU589745:SHU590054 SRQ589745:SRQ590054 TBM589745:TBM590054 TLI589745:TLI590054 TVE589745:TVE590054 UFA589745:UFA590054 UOW589745:UOW590054 UYS589745:UYS590054 VIO589745:VIO590054 VSK589745:VSK590054 WCG589745:WCG590054 WMC589745:WMC590054 WVY589745:WVY590054 JM655281:JM655590 TI655281:TI655590 ADE655281:ADE655590 ANA655281:ANA655590 AWW655281:AWW655590 BGS655281:BGS655590 BQO655281:BQO655590 CAK655281:CAK655590 CKG655281:CKG655590 CUC655281:CUC655590 DDY655281:DDY655590 DNU655281:DNU655590 DXQ655281:DXQ655590 EHM655281:EHM655590 ERI655281:ERI655590 FBE655281:FBE655590 FLA655281:FLA655590 FUW655281:FUW655590 GES655281:GES655590 GOO655281:GOO655590 GYK655281:GYK655590 HIG655281:HIG655590 HSC655281:HSC655590 IBY655281:IBY655590 ILU655281:ILU655590 IVQ655281:IVQ655590 JFM655281:JFM655590 JPI655281:JPI655590 JZE655281:JZE655590 KJA655281:KJA655590 KSW655281:KSW655590 LCS655281:LCS655590 LMO655281:LMO655590 LWK655281:LWK655590 MGG655281:MGG655590 MQC655281:MQC655590 MZY655281:MZY655590 NJU655281:NJU655590 NTQ655281:NTQ655590 ODM655281:ODM655590 ONI655281:ONI655590 OXE655281:OXE655590 PHA655281:PHA655590 PQW655281:PQW655590 QAS655281:QAS655590 QKO655281:QKO655590 QUK655281:QUK655590 REG655281:REG655590 ROC655281:ROC655590 RXY655281:RXY655590 SHU655281:SHU655590 SRQ655281:SRQ655590 TBM655281:TBM655590 TLI655281:TLI655590 TVE655281:TVE655590 UFA655281:UFA655590 UOW655281:UOW655590 UYS655281:UYS655590 VIO655281:VIO655590 VSK655281:VSK655590 WCG655281:WCG655590 WMC655281:WMC655590 WVY655281:WVY655590 JM720817:JM721126 TI720817:TI721126 ADE720817:ADE721126 ANA720817:ANA721126 AWW720817:AWW721126 BGS720817:BGS721126 BQO720817:BQO721126 CAK720817:CAK721126 CKG720817:CKG721126 CUC720817:CUC721126 DDY720817:DDY721126 DNU720817:DNU721126 DXQ720817:DXQ721126 EHM720817:EHM721126 ERI720817:ERI721126 FBE720817:FBE721126 FLA720817:FLA721126 FUW720817:FUW721126 GES720817:GES721126 GOO720817:GOO721126 GYK720817:GYK721126 HIG720817:HIG721126 HSC720817:HSC721126 IBY720817:IBY721126 ILU720817:ILU721126 IVQ720817:IVQ721126 JFM720817:JFM721126 JPI720817:JPI721126 JZE720817:JZE721126 KJA720817:KJA721126 KSW720817:KSW721126 LCS720817:LCS721126 LMO720817:LMO721126 LWK720817:LWK721126 MGG720817:MGG721126 MQC720817:MQC721126 MZY720817:MZY721126 NJU720817:NJU721126 NTQ720817:NTQ721126 ODM720817:ODM721126 ONI720817:ONI721126 OXE720817:OXE721126 PHA720817:PHA721126 PQW720817:PQW721126 QAS720817:QAS721126 QKO720817:QKO721126 QUK720817:QUK721126 REG720817:REG721126 ROC720817:ROC721126 RXY720817:RXY721126 SHU720817:SHU721126 SRQ720817:SRQ721126 TBM720817:TBM721126 TLI720817:TLI721126 TVE720817:TVE721126 UFA720817:UFA721126 UOW720817:UOW721126 UYS720817:UYS721126 VIO720817:VIO721126 VSK720817:VSK721126 WCG720817:WCG721126 WMC720817:WMC721126 WVY720817:WVY721126 JM786353:JM786662 TI786353:TI786662 ADE786353:ADE786662 ANA786353:ANA786662 AWW786353:AWW786662 BGS786353:BGS786662 BQO786353:BQO786662 CAK786353:CAK786662 CKG786353:CKG786662 CUC786353:CUC786662 DDY786353:DDY786662 DNU786353:DNU786662 DXQ786353:DXQ786662 EHM786353:EHM786662 ERI786353:ERI786662 FBE786353:FBE786662 FLA786353:FLA786662 FUW786353:FUW786662 GES786353:GES786662 GOO786353:GOO786662 GYK786353:GYK786662 HIG786353:HIG786662 HSC786353:HSC786662 IBY786353:IBY786662 ILU786353:ILU786662 IVQ786353:IVQ786662 JFM786353:JFM786662 JPI786353:JPI786662 JZE786353:JZE786662 KJA786353:KJA786662 KSW786353:KSW786662 LCS786353:LCS786662 LMO786353:LMO786662 LWK786353:LWK786662 MGG786353:MGG786662 MQC786353:MQC786662 MZY786353:MZY786662 NJU786353:NJU786662 NTQ786353:NTQ786662 ODM786353:ODM786662 ONI786353:ONI786662 OXE786353:OXE786662 PHA786353:PHA786662 PQW786353:PQW786662 QAS786353:QAS786662 QKO786353:QKO786662 QUK786353:QUK786662 REG786353:REG786662 ROC786353:ROC786662 RXY786353:RXY786662 SHU786353:SHU786662 SRQ786353:SRQ786662 TBM786353:TBM786662 TLI786353:TLI786662 TVE786353:TVE786662 UFA786353:UFA786662 UOW786353:UOW786662 UYS786353:UYS786662 VIO786353:VIO786662 VSK786353:VSK786662 WCG786353:WCG786662 WMC786353:WMC786662 WVY786353:WVY786662 JM851889:JM852198 TI851889:TI852198 ADE851889:ADE852198 ANA851889:ANA852198 AWW851889:AWW852198 BGS851889:BGS852198 BQO851889:BQO852198 CAK851889:CAK852198 CKG851889:CKG852198 CUC851889:CUC852198 DDY851889:DDY852198 DNU851889:DNU852198 DXQ851889:DXQ852198 EHM851889:EHM852198 ERI851889:ERI852198 FBE851889:FBE852198 FLA851889:FLA852198 FUW851889:FUW852198 GES851889:GES852198 GOO851889:GOO852198 GYK851889:GYK852198 HIG851889:HIG852198 HSC851889:HSC852198 IBY851889:IBY852198 ILU851889:ILU852198 IVQ851889:IVQ852198 JFM851889:JFM852198 JPI851889:JPI852198 JZE851889:JZE852198 KJA851889:KJA852198 KSW851889:KSW852198 LCS851889:LCS852198 LMO851889:LMO852198 LWK851889:LWK852198 MGG851889:MGG852198 MQC851889:MQC852198 MZY851889:MZY852198 NJU851889:NJU852198 NTQ851889:NTQ852198 ODM851889:ODM852198 ONI851889:ONI852198 OXE851889:OXE852198 PHA851889:PHA852198 PQW851889:PQW852198 QAS851889:QAS852198 QKO851889:QKO852198 QUK851889:QUK852198 REG851889:REG852198 ROC851889:ROC852198 RXY851889:RXY852198 SHU851889:SHU852198 SRQ851889:SRQ852198 TBM851889:TBM852198 TLI851889:TLI852198 TVE851889:TVE852198 UFA851889:UFA852198 UOW851889:UOW852198 UYS851889:UYS852198 VIO851889:VIO852198 VSK851889:VSK852198 WCG851889:WCG852198 WMC851889:WMC852198 WVY851889:WVY852198 JM917425:JM917734 TI917425:TI917734 ADE917425:ADE917734 ANA917425:ANA917734 AWW917425:AWW917734 BGS917425:BGS917734 BQO917425:BQO917734 CAK917425:CAK917734 CKG917425:CKG917734 CUC917425:CUC917734 DDY917425:DDY917734 DNU917425:DNU917734 DXQ917425:DXQ917734 EHM917425:EHM917734 ERI917425:ERI917734 FBE917425:FBE917734 FLA917425:FLA917734 FUW917425:FUW917734 GES917425:GES917734 GOO917425:GOO917734 GYK917425:GYK917734 HIG917425:HIG917734 HSC917425:HSC917734 IBY917425:IBY917734 ILU917425:ILU917734 IVQ917425:IVQ917734 JFM917425:JFM917734 JPI917425:JPI917734 JZE917425:JZE917734 KJA917425:KJA917734 KSW917425:KSW917734 LCS917425:LCS917734 LMO917425:LMO917734 LWK917425:LWK917734 MGG917425:MGG917734 MQC917425:MQC917734 MZY917425:MZY917734 NJU917425:NJU917734 NTQ917425:NTQ917734 ODM917425:ODM917734 ONI917425:ONI917734 OXE917425:OXE917734 PHA917425:PHA917734 PQW917425:PQW917734 QAS917425:QAS917734 QKO917425:QKO917734 QUK917425:QUK917734 REG917425:REG917734 ROC917425:ROC917734 RXY917425:RXY917734 SHU917425:SHU917734 SRQ917425:SRQ917734 TBM917425:TBM917734 TLI917425:TLI917734 TVE917425:TVE917734 UFA917425:UFA917734 UOW917425:UOW917734 UYS917425:UYS917734 VIO917425:VIO917734 VSK917425:VSK917734 WCG917425:WCG917734 WMC917425:WMC917734 WVY917425:WVY917734 JM982961:JM983270 TI982961:TI983270 ADE982961:ADE983270 ANA982961:ANA983270 AWW982961:AWW983270 BGS982961:BGS983270 BQO982961:BQO983270 CAK982961:CAK983270 CKG982961:CKG983270 CUC982961:CUC983270 DDY982961:DDY983270 DNU982961:DNU983270 DXQ982961:DXQ983270 EHM982961:EHM983270 ERI982961:ERI983270 FBE982961:FBE983270 FLA982961:FLA983270 FUW982961:FUW983270 GES982961:GES983270 GOO982961:GOO983270 GYK982961:GYK983270 HIG982961:HIG983270 HSC982961:HSC983270 IBY982961:IBY983270 ILU982961:ILU983270 IVQ982961:IVQ983270 JFM982961:JFM983270 JPI982961:JPI983270 JZE982961:JZE983270 KJA982961:KJA983270 KSW982961:KSW983270 LCS982961:LCS983270 LMO982961:LMO983270 LWK982961:LWK983270 MGG982961:MGG983270 MQC982961:MQC983270 MZY982961:MZY983270 NJU982961:NJU983270 NTQ982961:NTQ983270 ODM982961:ODM983270 ONI982961:ONI983270 OXE982961:OXE983270 PHA982961:PHA983270 PQW982961:PQW983270 QAS982961:QAS983270 QKO982961:QKO983270 QUK982961:QUK983270 REG982961:REG983270 ROC982961:ROC983270 RXY982961:RXY983270 SHU982961:SHU983270 SRQ982961:SRQ983270 TBM982961:TBM983270 TLI982961:TLI983270 TVE982961:TVE983270 UFA982961:UFA983270 UOW982961:UOW983270 UYS982961:UYS983270 VIO982961:VIO983270 VSK982961:VSK983270 WCG982961:WCG983270 WMC982961:WMC983270 WVY982961:WVY983270 JM65769:JM66082 TI65769:TI66082 ADE65769:ADE66082 ANA65769:ANA66082 AWW65769:AWW66082 BGS65769:BGS66082 BQO65769:BQO66082 CAK65769:CAK66082 CKG65769:CKG66082 CUC65769:CUC66082 DDY65769:DDY66082 DNU65769:DNU66082 DXQ65769:DXQ66082 EHM65769:EHM66082 ERI65769:ERI66082 FBE65769:FBE66082 FLA65769:FLA66082 FUW65769:FUW66082 GES65769:GES66082 GOO65769:GOO66082 GYK65769:GYK66082 HIG65769:HIG66082 HSC65769:HSC66082 IBY65769:IBY66082 ILU65769:ILU66082 IVQ65769:IVQ66082 JFM65769:JFM66082 JPI65769:JPI66082 JZE65769:JZE66082 KJA65769:KJA66082 KSW65769:KSW66082 LCS65769:LCS66082 LMO65769:LMO66082 LWK65769:LWK66082 MGG65769:MGG66082 MQC65769:MQC66082 MZY65769:MZY66082 NJU65769:NJU66082 NTQ65769:NTQ66082 ODM65769:ODM66082 ONI65769:ONI66082 OXE65769:OXE66082 PHA65769:PHA66082 PQW65769:PQW66082 QAS65769:QAS66082 QKO65769:QKO66082 QUK65769:QUK66082 REG65769:REG66082 ROC65769:ROC66082 RXY65769:RXY66082 SHU65769:SHU66082 SRQ65769:SRQ66082 TBM65769:TBM66082 TLI65769:TLI66082 TVE65769:TVE66082 UFA65769:UFA66082 UOW65769:UOW66082 UYS65769:UYS66082 VIO65769:VIO66082 VSK65769:VSK66082 WCG65769:WCG66082 WMC65769:WMC66082 WVY65769:WVY66082 JM131305:JM131618 TI131305:TI131618 ADE131305:ADE131618 ANA131305:ANA131618 AWW131305:AWW131618 BGS131305:BGS131618 BQO131305:BQO131618 CAK131305:CAK131618 CKG131305:CKG131618 CUC131305:CUC131618 DDY131305:DDY131618 DNU131305:DNU131618 DXQ131305:DXQ131618 EHM131305:EHM131618 ERI131305:ERI131618 FBE131305:FBE131618 FLA131305:FLA131618 FUW131305:FUW131618 GES131305:GES131618 GOO131305:GOO131618 GYK131305:GYK131618 HIG131305:HIG131618 HSC131305:HSC131618 IBY131305:IBY131618 ILU131305:ILU131618 IVQ131305:IVQ131618 JFM131305:JFM131618 JPI131305:JPI131618 JZE131305:JZE131618 KJA131305:KJA131618 KSW131305:KSW131618 LCS131305:LCS131618 LMO131305:LMO131618 LWK131305:LWK131618 MGG131305:MGG131618 MQC131305:MQC131618 MZY131305:MZY131618 NJU131305:NJU131618 NTQ131305:NTQ131618 ODM131305:ODM131618 ONI131305:ONI131618 OXE131305:OXE131618 PHA131305:PHA131618 PQW131305:PQW131618 QAS131305:QAS131618 QKO131305:QKO131618 QUK131305:QUK131618 REG131305:REG131618 ROC131305:ROC131618 RXY131305:RXY131618 SHU131305:SHU131618 SRQ131305:SRQ131618 TBM131305:TBM131618 TLI131305:TLI131618 TVE131305:TVE131618 UFA131305:UFA131618 UOW131305:UOW131618 UYS131305:UYS131618 VIO131305:VIO131618 VSK131305:VSK131618 WCG131305:WCG131618 WMC131305:WMC131618 WVY131305:WVY131618 JM196841:JM197154 TI196841:TI197154 ADE196841:ADE197154 ANA196841:ANA197154 AWW196841:AWW197154 BGS196841:BGS197154 BQO196841:BQO197154 CAK196841:CAK197154 CKG196841:CKG197154 CUC196841:CUC197154 DDY196841:DDY197154 DNU196841:DNU197154 DXQ196841:DXQ197154 EHM196841:EHM197154 ERI196841:ERI197154 FBE196841:FBE197154 FLA196841:FLA197154 FUW196841:FUW197154 GES196841:GES197154 GOO196841:GOO197154 GYK196841:GYK197154 HIG196841:HIG197154 HSC196841:HSC197154 IBY196841:IBY197154 ILU196841:ILU197154 IVQ196841:IVQ197154 JFM196841:JFM197154 JPI196841:JPI197154 JZE196841:JZE197154 KJA196841:KJA197154 KSW196841:KSW197154 LCS196841:LCS197154 LMO196841:LMO197154 LWK196841:LWK197154 MGG196841:MGG197154 MQC196841:MQC197154 MZY196841:MZY197154 NJU196841:NJU197154 NTQ196841:NTQ197154 ODM196841:ODM197154 ONI196841:ONI197154 OXE196841:OXE197154 PHA196841:PHA197154 PQW196841:PQW197154 QAS196841:QAS197154 QKO196841:QKO197154 QUK196841:QUK197154 REG196841:REG197154 ROC196841:ROC197154 RXY196841:RXY197154 SHU196841:SHU197154 SRQ196841:SRQ197154 TBM196841:TBM197154 TLI196841:TLI197154 TVE196841:TVE197154 UFA196841:UFA197154 UOW196841:UOW197154 UYS196841:UYS197154 VIO196841:VIO197154 VSK196841:VSK197154 WCG196841:WCG197154 WMC196841:WMC197154 WVY196841:WVY197154 JM262377:JM262690 TI262377:TI262690 ADE262377:ADE262690 ANA262377:ANA262690 AWW262377:AWW262690 BGS262377:BGS262690 BQO262377:BQO262690 CAK262377:CAK262690 CKG262377:CKG262690 CUC262377:CUC262690 DDY262377:DDY262690 DNU262377:DNU262690 DXQ262377:DXQ262690 EHM262377:EHM262690 ERI262377:ERI262690 FBE262377:FBE262690 FLA262377:FLA262690 FUW262377:FUW262690 GES262377:GES262690 GOO262377:GOO262690 GYK262377:GYK262690 HIG262377:HIG262690 HSC262377:HSC262690 IBY262377:IBY262690 ILU262377:ILU262690 IVQ262377:IVQ262690 JFM262377:JFM262690 JPI262377:JPI262690 JZE262377:JZE262690 KJA262377:KJA262690 KSW262377:KSW262690 LCS262377:LCS262690 LMO262377:LMO262690 LWK262377:LWK262690 MGG262377:MGG262690 MQC262377:MQC262690 MZY262377:MZY262690 NJU262377:NJU262690 NTQ262377:NTQ262690 ODM262377:ODM262690 ONI262377:ONI262690 OXE262377:OXE262690 PHA262377:PHA262690 PQW262377:PQW262690 QAS262377:QAS262690 QKO262377:QKO262690 QUK262377:QUK262690 REG262377:REG262690 ROC262377:ROC262690 RXY262377:RXY262690 SHU262377:SHU262690 SRQ262377:SRQ262690 TBM262377:TBM262690 TLI262377:TLI262690 TVE262377:TVE262690 UFA262377:UFA262690 UOW262377:UOW262690 UYS262377:UYS262690 VIO262377:VIO262690 VSK262377:VSK262690 WCG262377:WCG262690 WMC262377:WMC262690 WVY262377:WVY262690 JM327913:JM328226 TI327913:TI328226 ADE327913:ADE328226 ANA327913:ANA328226 AWW327913:AWW328226 BGS327913:BGS328226 BQO327913:BQO328226 CAK327913:CAK328226 CKG327913:CKG328226 CUC327913:CUC328226 DDY327913:DDY328226 DNU327913:DNU328226 DXQ327913:DXQ328226 EHM327913:EHM328226 ERI327913:ERI328226 FBE327913:FBE328226 FLA327913:FLA328226 FUW327913:FUW328226 GES327913:GES328226 GOO327913:GOO328226 GYK327913:GYK328226 HIG327913:HIG328226 HSC327913:HSC328226 IBY327913:IBY328226 ILU327913:ILU328226 IVQ327913:IVQ328226 JFM327913:JFM328226 JPI327913:JPI328226 JZE327913:JZE328226 KJA327913:KJA328226 KSW327913:KSW328226 LCS327913:LCS328226 LMO327913:LMO328226 LWK327913:LWK328226 MGG327913:MGG328226 MQC327913:MQC328226 MZY327913:MZY328226 NJU327913:NJU328226 NTQ327913:NTQ328226 ODM327913:ODM328226 ONI327913:ONI328226 OXE327913:OXE328226 PHA327913:PHA328226 PQW327913:PQW328226 QAS327913:QAS328226 QKO327913:QKO328226 QUK327913:QUK328226 REG327913:REG328226 ROC327913:ROC328226 RXY327913:RXY328226 SHU327913:SHU328226 SRQ327913:SRQ328226 TBM327913:TBM328226 TLI327913:TLI328226 TVE327913:TVE328226 UFA327913:UFA328226 UOW327913:UOW328226 UYS327913:UYS328226 VIO327913:VIO328226 VSK327913:VSK328226 WCG327913:WCG328226 WMC327913:WMC328226 WVY327913:WVY328226 JM393449:JM393762 TI393449:TI393762 ADE393449:ADE393762 ANA393449:ANA393762 AWW393449:AWW393762 BGS393449:BGS393762 BQO393449:BQO393762 CAK393449:CAK393762 CKG393449:CKG393762 CUC393449:CUC393762 DDY393449:DDY393762 DNU393449:DNU393762 DXQ393449:DXQ393762 EHM393449:EHM393762 ERI393449:ERI393762 FBE393449:FBE393762 FLA393449:FLA393762 FUW393449:FUW393762 GES393449:GES393762 GOO393449:GOO393762 GYK393449:GYK393762 HIG393449:HIG393762 HSC393449:HSC393762 IBY393449:IBY393762 ILU393449:ILU393762 IVQ393449:IVQ393762 JFM393449:JFM393762 JPI393449:JPI393762 JZE393449:JZE393762 KJA393449:KJA393762 KSW393449:KSW393762 LCS393449:LCS393762 LMO393449:LMO393762 LWK393449:LWK393762 MGG393449:MGG393762 MQC393449:MQC393762 MZY393449:MZY393762 NJU393449:NJU393762 NTQ393449:NTQ393762 ODM393449:ODM393762 ONI393449:ONI393762 OXE393449:OXE393762 PHA393449:PHA393762 PQW393449:PQW393762 QAS393449:QAS393762 QKO393449:QKO393762 QUK393449:QUK393762 REG393449:REG393762 ROC393449:ROC393762 RXY393449:RXY393762 SHU393449:SHU393762 SRQ393449:SRQ393762 TBM393449:TBM393762 TLI393449:TLI393762 TVE393449:TVE393762 UFA393449:UFA393762 UOW393449:UOW393762 UYS393449:UYS393762 VIO393449:VIO393762 VSK393449:VSK393762 WCG393449:WCG393762 WMC393449:WMC393762 WVY393449:WVY393762 JM458985:JM459298 TI458985:TI459298 ADE458985:ADE459298 ANA458985:ANA459298 AWW458985:AWW459298 BGS458985:BGS459298 BQO458985:BQO459298 CAK458985:CAK459298 CKG458985:CKG459298 CUC458985:CUC459298 DDY458985:DDY459298 DNU458985:DNU459298 DXQ458985:DXQ459298 EHM458985:EHM459298 ERI458985:ERI459298 FBE458985:FBE459298 FLA458985:FLA459298 FUW458985:FUW459298 GES458985:GES459298 GOO458985:GOO459298 GYK458985:GYK459298 HIG458985:HIG459298 HSC458985:HSC459298 IBY458985:IBY459298 ILU458985:ILU459298 IVQ458985:IVQ459298 JFM458985:JFM459298 JPI458985:JPI459298 JZE458985:JZE459298 KJA458985:KJA459298 KSW458985:KSW459298 LCS458985:LCS459298 LMO458985:LMO459298 LWK458985:LWK459298 MGG458985:MGG459298 MQC458985:MQC459298 MZY458985:MZY459298 NJU458985:NJU459298 NTQ458985:NTQ459298 ODM458985:ODM459298 ONI458985:ONI459298 OXE458985:OXE459298 PHA458985:PHA459298 PQW458985:PQW459298 QAS458985:QAS459298 QKO458985:QKO459298 QUK458985:QUK459298 REG458985:REG459298 ROC458985:ROC459298 RXY458985:RXY459298 SHU458985:SHU459298 SRQ458985:SRQ459298 TBM458985:TBM459298 TLI458985:TLI459298 TVE458985:TVE459298 UFA458985:UFA459298 UOW458985:UOW459298 UYS458985:UYS459298 VIO458985:VIO459298 VSK458985:VSK459298 WCG458985:WCG459298 WMC458985:WMC459298 WVY458985:WVY459298 JM524521:JM524834 TI524521:TI524834 ADE524521:ADE524834 ANA524521:ANA524834 AWW524521:AWW524834 BGS524521:BGS524834 BQO524521:BQO524834 CAK524521:CAK524834 CKG524521:CKG524834 CUC524521:CUC524834 DDY524521:DDY524834 DNU524521:DNU524834 DXQ524521:DXQ524834 EHM524521:EHM524834 ERI524521:ERI524834 FBE524521:FBE524834 FLA524521:FLA524834 FUW524521:FUW524834 GES524521:GES524834 GOO524521:GOO524834 GYK524521:GYK524834 HIG524521:HIG524834 HSC524521:HSC524834 IBY524521:IBY524834 ILU524521:ILU524834 IVQ524521:IVQ524834 JFM524521:JFM524834 JPI524521:JPI524834 JZE524521:JZE524834 KJA524521:KJA524834 KSW524521:KSW524834 LCS524521:LCS524834 LMO524521:LMO524834 LWK524521:LWK524834 MGG524521:MGG524834 MQC524521:MQC524834 MZY524521:MZY524834 NJU524521:NJU524834 NTQ524521:NTQ524834 ODM524521:ODM524834 ONI524521:ONI524834 OXE524521:OXE524834 PHA524521:PHA524834 PQW524521:PQW524834 QAS524521:QAS524834 QKO524521:QKO524834 QUK524521:QUK524834 REG524521:REG524834 ROC524521:ROC524834 RXY524521:RXY524834 SHU524521:SHU524834 SRQ524521:SRQ524834 TBM524521:TBM524834 TLI524521:TLI524834 TVE524521:TVE524834 UFA524521:UFA524834 UOW524521:UOW524834 UYS524521:UYS524834 VIO524521:VIO524834 VSK524521:VSK524834 WCG524521:WCG524834 WMC524521:WMC524834 WVY524521:WVY524834 JM590057:JM590370 TI590057:TI590370 ADE590057:ADE590370 ANA590057:ANA590370 AWW590057:AWW590370 BGS590057:BGS590370 BQO590057:BQO590370 CAK590057:CAK590370 CKG590057:CKG590370 CUC590057:CUC590370 DDY590057:DDY590370 DNU590057:DNU590370 DXQ590057:DXQ590370 EHM590057:EHM590370 ERI590057:ERI590370 FBE590057:FBE590370 FLA590057:FLA590370 FUW590057:FUW590370 GES590057:GES590370 GOO590057:GOO590370 GYK590057:GYK590370 HIG590057:HIG590370 HSC590057:HSC590370 IBY590057:IBY590370 ILU590057:ILU590370 IVQ590057:IVQ590370 JFM590057:JFM590370 JPI590057:JPI590370 JZE590057:JZE590370 KJA590057:KJA590370 KSW590057:KSW590370 LCS590057:LCS590370 LMO590057:LMO590370 LWK590057:LWK590370 MGG590057:MGG590370 MQC590057:MQC590370 MZY590057:MZY590370 NJU590057:NJU590370 NTQ590057:NTQ590370 ODM590057:ODM590370 ONI590057:ONI590370 OXE590057:OXE590370 PHA590057:PHA590370 PQW590057:PQW590370 QAS590057:QAS590370 QKO590057:QKO590370 QUK590057:QUK590370 REG590057:REG590370 ROC590057:ROC590370 RXY590057:RXY590370 SHU590057:SHU590370 SRQ590057:SRQ590370 TBM590057:TBM590370 TLI590057:TLI590370 TVE590057:TVE590370 UFA590057:UFA590370 UOW590057:UOW590370 UYS590057:UYS590370 VIO590057:VIO590370 VSK590057:VSK590370 WCG590057:WCG590370 WMC590057:WMC590370 WVY590057:WVY590370 JM655593:JM655906 TI655593:TI655906 ADE655593:ADE655906 ANA655593:ANA655906 AWW655593:AWW655906 BGS655593:BGS655906 BQO655593:BQO655906 CAK655593:CAK655906 CKG655593:CKG655906 CUC655593:CUC655906 DDY655593:DDY655906 DNU655593:DNU655906 DXQ655593:DXQ655906 EHM655593:EHM655906 ERI655593:ERI655906 FBE655593:FBE655906 FLA655593:FLA655906 FUW655593:FUW655906 GES655593:GES655906 GOO655593:GOO655906 GYK655593:GYK655906 HIG655593:HIG655906 HSC655593:HSC655906 IBY655593:IBY655906 ILU655593:ILU655906 IVQ655593:IVQ655906 JFM655593:JFM655906 JPI655593:JPI655906 JZE655593:JZE655906 KJA655593:KJA655906 KSW655593:KSW655906 LCS655593:LCS655906 LMO655593:LMO655906 LWK655593:LWK655906 MGG655593:MGG655906 MQC655593:MQC655906 MZY655593:MZY655906 NJU655593:NJU655906 NTQ655593:NTQ655906 ODM655593:ODM655906 ONI655593:ONI655906 OXE655593:OXE655906 PHA655593:PHA655906 PQW655593:PQW655906 QAS655593:QAS655906 QKO655593:QKO655906 QUK655593:QUK655906 REG655593:REG655906 ROC655593:ROC655906 RXY655593:RXY655906 SHU655593:SHU655906 SRQ655593:SRQ655906 TBM655593:TBM655906 TLI655593:TLI655906 TVE655593:TVE655906 UFA655593:UFA655906 UOW655593:UOW655906 UYS655593:UYS655906 VIO655593:VIO655906 VSK655593:VSK655906 WCG655593:WCG655906 WMC655593:WMC655906 WVY655593:WVY655906 JM721129:JM721442 TI721129:TI721442 ADE721129:ADE721442 ANA721129:ANA721442 AWW721129:AWW721442 BGS721129:BGS721442 BQO721129:BQO721442 CAK721129:CAK721442 CKG721129:CKG721442 CUC721129:CUC721442 DDY721129:DDY721442 DNU721129:DNU721442 DXQ721129:DXQ721442 EHM721129:EHM721442 ERI721129:ERI721442 FBE721129:FBE721442 FLA721129:FLA721442 FUW721129:FUW721442 GES721129:GES721442 GOO721129:GOO721442 GYK721129:GYK721442 HIG721129:HIG721442 HSC721129:HSC721442 IBY721129:IBY721442 ILU721129:ILU721442 IVQ721129:IVQ721442 JFM721129:JFM721442 JPI721129:JPI721442 JZE721129:JZE721442 KJA721129:KJA721442 KSW721129:KSW721442 LCS721129:LCS721442 LMO721129:LMO721442 LWK721129:LWK721442 MGG721129:MGG721442 MQC721129:MQC721442 MZY721129:MZY721442 NJU721129:NJU721442 NTQ721129:NTQ721442 ODM721129:ODM721442 ONI721129:ONI721442 OXE721129:OXE721442 PHA721129:PHA721442 PQW721129:PQW721442 QAS721129:QAS721442 QKO721129:QKO721442 QUK721129:QUK721442 REG721129:REG721442 ROC721129:ROC721442 RXY721129:RXY721442 SHU721129:SHU721442 SRQ721129:SRQ721442 TBM721129:TBM721442 TLI721129:TLI721442 TVE721129:TVE721442 UFA721129:UFA721442 UOW721129:UOW721442 UYS721129:UYS721442 VIO721129:VIO721442 VSK721129:VSK721442 WCG721129:WCG721442 WMC721129:WMC721442 WVY721129:WVY721442 JM786665:JM786978 TI786665:TI786978 ADE786665:ADE786978 ANA786665:ANA786978 AWW786665:AWW786978 BGS786665:BGS786978 BQO786665:BQO786978 CAK786665:CAK786978 CKG786665:CKG786978 CUC786665:CUC786978 DDY786665:DDY786978 DNU786665:DNU786978 DXQ786665:DXQ786978 EHM786665:EHM786978 ERI786665:ERI786978 FBE786665:FBE786978 FLA786665:FLA786978 FUW786665:FUW786978 GES786665:GES786978 GOO786665:GOO786978 GYK786665:GYK786978 HIG786665:HIG786978 HSC786665:HSC786978 IBY786665:IBY786978 ILU786665:ILU786978 IVQ786665:IVQ786978 JFM786665:JFM786978 JPI786665:JPI786978 JZE786665:JZE786978 KJA786665:KJA786978 KSW786665:KSW786978 LCS786665:LCS786978 LMO786665:LMO786978 LWK786665:LWK786978 MGG786665:MGG786978 MQC786665:MQC786978 MZY786665:MZY786978 NJU786665:NJU786978 NTQ786665:NTQ786978 ODM786665:ODM786978 ONI786665:ONI786978 OXE786665:OXE786978 PHA786665:PHA786978 PQW786665:PQW786978 QAS786665:QAS786978 QKO786665:QKO786978 QUK786665:QUK786978 REG786665:REG786978 ROC786665:ROC786978 RXY786665:RXY786978 SHU786665:SHU786978 SRQ786665:SRQ786978 TBM786665:TBM786978 TLI786665:TLI786978 TVE786665:TVE786978 UFA786665:UFA786978 UOW786665:UOW786978 UYS786665:UYS786978 VIO786665:VIO786978 VSK786665:VSK786978 WCG786665:WCG786978 WMC786665:WMC786978 WVY786665:WVY786978 JM852201:JM852514 TI852201:TI852514 ADE852201:ADE852514 ANA852201:ANA852514 AWW852201:AWW852514 BGS852201:BGS852514 BQO852201:BQO852514 CAK852201:CAK852514 CKG852201:CKG852514 CUC852201:CUC852514 DDY852201:DDY852514 DNU852201:DNU852514 DXQ852201:DXQ852514 EHM852201:EHM852514 ERI852201:ERI852514 FBE852201:FBE852514 FLA852201:FLA852514 FUW852201:FUW852514 GES852201:GES852514 GOO852201:GOO852514 GYK852201:GYK852514 HIG852201:HIG852514 HSC852201:HSC852514 IBY852201:IBY852514 ILU852201:ILU852514 IVQ852201:IVQ852514 JFM852201:JFM852514 JPI852201:JPI852514 JZE852201:JZE852514 KJA852201:KJA852514 KSW852201:KSW852514 LCS852201:LCS852514 LMO852201:LMO852514 LWK852201:LWK852514 MGG852201:MGG852514 MQC852201:MQC852514 MZY852201:MZY852514 NJU852201:NJU852514 NTQ852201:NTQ852514 ODM852201:ODM852514 ONI852201:ONI852514 OXE852201:OXE852514 PHA852201:PHA852514 PQW852201:PQW852514 QAS852201:QAS852514 QKO852201:QKO852514 QUK852201:QUK852514 REG852201:REG852514 ROC852201:ROC852514 RXY852201:RXY852514 SHU852201:SHU852514 SRQ852201:SRQ852514 TBM852201:TBM852514 TLI852201:TLI852514 TVE852201:TVE852514 UFA852201:UFA852514 UOW852201:UOW852514 UYS852201:UYS852514 VIO852201:VIO852514 VSK852201:VSK852514 WCG852201:WCG852514 WMC852201:WMC852514 WVY852201:WVY852514 JM917737:JM918050 TI917737:TI918050 ADE917737:ADE918050 ANA917737:ANA918050 AWW917737:AWW918050 BGS917737:BGS918050 BQO917737:BQO918050 CAK917737:CAK918050 CKG917737:CKG918050 CUC917737:CUC918050 DDY917737:DDY918050 DNU917737:DNU918050 DXQ917737:DXQ918050 EHM917737:EHM918050 ERI917737:ERI918050 FBE917737:FBE918050 FLA917737:FLA918050 FUW917737:FUW918050 GES917737:GES918050 GOO917737:GOO918050 GYK917737:GYK918050 HIG917737:HIG918050 HSC917737:HSC918050 IBY917737:IBY918050 ILU917737:ILU918050 IVQ917737:IVQ918050 JFM917737:JFM918050 JPI917737:JPI918050 JZE917737:JZE918050 KJA917737:KJA918050 KSW917737:KSW918050 LCS917737:LCS918050 LMO917737:LMO918050 LWK917737:LWK918050 MGG917737:MGG918050 MQC917737:MQC918050 MZY917737:MZY918050 NJU917737:NJU918050 NTQ917737:NTQ918050 ODM917737:ODM918050 ONI917737:ONI918050 OXE917737:OXE918050 PHA917737:PHA918050 PQW917737:PQW918050 QAS917737:QAS918050 QKO917737:QKO918050 QUK917737:QUK918050 REG917737:REG918050 ROC917737:ROC918050 RXY917737:RXY918050 SHU917737:SHU918050 SRQ917737:SRQ918050 TBM917737:TBM918050 TLI917737:TLI918050 TVE917737:TVE918050 UFA917737:UFA918050 UOW917737:UOW918050 UYS917737:UYS918050 VIO917737:VIO918050 VSK917737:VSK918050 WCG917737:WCG918050 WMC917737:WMC918050 WVY917737:WVY918050 JM983273:JM983586 TI983273:TI983586 ADE983273:ADE983586 ANA983273:ANA983586 AWW983273:AWW983586 BGS983273:BGS983586 BQO983273:BQO983586 CAK983273:CAK983586 CKG983273:CKG983586 CUC983273:CUC983586 DDY983273:DDY983586 DNU983273:DNU983586 DXQ983273:DXQ983586 EHM983273:EHM983586 ERI983273:ERI983586 FBE983273:FBE983586 FLA983273:FLA983586 FUW983273:FUW983586 GES983273:GES983586 GOO983273:GOO983586 GYK983273:GYK983586 HIG983273:HIG983586 HSC983273:HSC983586 IBY983273:IBY983586 ILU983273:ILU983586 IVQ983273:IVQ983586 JFM983273:JFM983586 JPI983273:JPI983586 JZE983273:JZE983586 KJA983273:KJA983586 KSW983273:KSW983586 LCS983273:LCS983586 LMO983273:LMO983586 LWK983273:LWK983586 MGG983273:MGG983586 MQC983273:MQC983586 MZY983273:MZY983586 NJU983273:NJU983586 NTQ983273:NTQ983586 ODM983273:ODM983586 ONI983273:ONI983586 OXE983273:OXE983586 PHA983273:PHA983586 PQW983273:PQW983586 QAS983273:QAS983586 QKO983273:QKO983586 QUK983273:QUK983586 REG983273:REG983586 ROC983273:ROC983586 RXY983273:RXY983586 SHU983273:SHU983586 SRQ983273:SRQ983586 TBM983273:TBM983586 TLI983273:TLI983586 TVE983273:TVE983586 UFA983273:UFA983586 UOW983273:UOW983586 UYS983273:UYS983586 VIO983273:VIO983586 VSK983273:VSK983586 WCG983273:WCG983586 WMC983273:WMC983586 JM452:JM546 TI452:TI546 ADE452:ADE546 ANA452:ANA546 AWW452:AWW546 BGS452:BGS546 BQO452:BQO546 CAK452:CAK546 CKG452:CKG546 CUC452:CUC546 DDY452:DDY546 DNU452:DNU546 DXQ452:DXQ546 EHM452:EHM546 ERI452:ERI546 FBE452:FBE546 FLA452:FLA546 FUW452:FUW546 GES452:GES546 GOO452:GOO546 GYK452:GYK546 HIG452:HIG546 HSC452:HSC546 IBY452:IBY546 ILU452:ILU546 IVQ452:IVQ546 JFM452:JFM546 JPI452:JPI546 JZE452:JZE546 KJA452:KJA546 KSW452:KSW546 LCS452:LCS546 LMO452:LMO546 LWK452:LWK546 MGG452:MGG546 MQC452:MQC546 MZY452:MZY546 NJU452:NJU546 NTQ452:NTQ546 ODM452:ODM546 ONI452:ONI546 OXE452:OXE546 PHA452:PHA546 PQW452:PQW546 QAS452:QAS546 QKO452:QKO546 QUK452:QUK546 REG452:REG546 ROC452:ROC546 RXY452:RXY546 SHU452:SHU546 SRQ452:SRQ546 TBM452:TBM546 TLI452:TLI546 TVE452:TVE546 UFA452:UFA546 UOW452:UOW546 UYS452:UYS546 VIO452:VIO546 VSK452:VSK546 WCG452:WCG546 WMC452:WMC546 WVY452:WVY546 WVU337:WVU450 WVX451 WLY337:WLY450 WMB451 WCC337:WCC450 WCF451 VSG337:VSG450 VSJ451 VIK337:VIK450 VIN451 UYO337:UYO450 UYR451 UOS337:UOS450 UOV451 UEW337:UEW450 UEZ451 TVA337:TVA450 TVD451 TLE337:TLE450 TLH451 TBI337:TBI450 TBL451 SRM337:SRM450 SRP451 SHQ337:SHQ450 SHT451 RXU337:RXU450 RXX451 RNY337:RNY450 ROB451 REC337:REC450 REF451 QUG337:QUG450 QUJ451 QKK337:QKK450 QKN451 QAO337:QAO450 QAR451 PQS337:PQS450 PQV451 PGW337:PGW450 PGZ451 OXA337:OXA450 OXD451 ONE337:ONE450 ONH451 ODI337:ODI450 ODL451 NTM337:NTM450 NTP451 NJQ337:NJQ450 NJT451 MZU337:MZU450 MZX451 MPY337:MPY450 MQB451 MGC337:MGC450 MGF451 LWG337:LWG450 LWJ451 LMK337:LMK450 LMN451 LCO337:LCO450 LCR451 KSS337:KSS450 KSV451 KIW337:KIW450 KIZ451 JZA337:JZA450 JZD451 JPE337:JPE450 JPH451 JFI337:JFI450 JFL451 IVM337:IVM450 IVP451 ILQ337:ILQ450 ILT451 IBU337:IBU450 IBX451 HRY337:HRY450 HSB451 HIC337:HIC450 HIF451 GYG337:GYG450 GYJ451 GOK337:GOK450 GON451 GEO337:GEO450 GER451 FUS337:FUS450 FUV451 FKW337:FKW450 FKZ451 FBA337:FBA450 FBD451 ERE337:ERE450 ERH451 EHI337:EHI450 EHL451 DXM337:DXM450 DXP451 DNQ337:DNQ450 DNT451 DDU337:DDU450 DDX451 CTY337:CTY450 CUB451 CKC337:CKC450 CKF451 CAG337:CAG450 CAJ451 BQK337:BQK450 BQN451 BGO337:BGO450 BGR451 AWS337:AWS450 AWV451 AMW337:AMW450 AMZ451 ADA337:ADA450 ADD451 TE337:TE450 TH451 JI337:JI450 JL451" xr:uid="{00000000-0002-0000-0D00-000000000000}">
      <formula1>0</formula1>
      <formula2>2</formula2>
    </dataValidation>
    <dataValidation type="whole" allowBlank="1" showInputMessage="1" showErrorMessage="1" sqref="REE982961:REE983286 JG25:JG350 TC25:TC350 ACY25:ACY350 AMU25:AMU350 AWQ25:AWQ350 BGM25:BGM350 BQI25:BQI350 CAE25:CAE350 CKA25:CKA350 CTW25:CTW350 DDS25:DDS350 DNO25:DNO350 DXK25:DXK350 EHG25:EHG350 ERC25:ERC350 FAY25:FAY350 FKU25:FKU350 FUQ25:FUQ350 GEM25:GEM350 GOI25:GOI350 GYE25:GYE350 HIA25:HIA350 HRW25:HRW350 IBS25:IBS350 ILO25:ILO350 IVK25:IVK350 JFG25:JFG350 JPC25:JPC350 JYY25:JYY350 KIU25:KIU350 KSQ25:KSQ350 LCM25:LCM350 LMI25:LMI350 LWE25:LWE350 MGA25:MGA350 MPW25:MPW350 MZS25:MZS350 NJO25:NJO350 NTK25:NTK350 ODG25:ODG350 ONC25:ONC350 OWY25:OWY350 PGU25:PGU350 PQQ25:PQQ350 QAM25:QAM350 QKI25:QKI350 QUE25:QUE350 REA25:REA350 RNW25:RNW350 RXS25:RXS350 SHO25:SHO350 SRK25:SRK350 TBG25:TBG350 TLC25:TLC350 TUY25:TUY350 UEU25:UEU350 UOQ25:UOQ350 UYM25:UYM350 VII25:VII350 VSE25:VSE350 WCA25:WCA350 WLW25:WLW350 WVS25:WVS350 ROA982961:ROA983286 JK65457:JK65782 TG65457:TG65782 ADC65457:ADC65782 AMY65457:AMY65782 AWU65457:AWU65782 BGQ65457:BGQ65782 BQM65457:BQM65782 CAI65457:CAI65782 CKE65457:CKE65782 CUA65457:CUA65782 DDW65457:DDW65782 DNS65457:DNS65782 DXO65457:DXO65782 EHK65457:EHK65782 ERG65457:ERG65782 FBC65457:FBC65782 FKY65457:FKY65782 FUU65457:FUU65782 GEQ65457:GEQ65782 GOM65457:GOM65782 GYI65457:GYI65782 HIE65457:HIE65782 HSA65457:HSA65782 IBW65457:IBW65782 ILS65457:ILS65782 IVO65457:IVO65782 JFK65457:JFK65782 JPG65457:JPG65782 JZC65457:JZC65782 KIY65457:KIY65782 KSU65457:KSU65782 LCQ65457:LCQ65782 LMM65457:LMM65782 LWI65457:LWI65782 MGE65457:MGE65782 MQA65457:MQA65782 MZW65457:MZW65782 NJS65457:NJS65782 NTO65457:NTO65782 ODK65457:ODK65782 ONG65457:ONG65782 OXC65457:OXC65782 PGY65457:PGY65782 PQU65457:PQU65782 QAQ65457:QAQ65782 QKM65457:QKM65782 QUI65457:QUI65782 REE65457:REE65782 ROA65457:ROA65782 RXW65457:RXW65782 SHS65457:SHS65782 SRO65457:SRO65782 TBK65457:TBK65782 TLG65457:TLG65782 TVC65457:TVC65782 UEY65457:UEY65782 UOU65457:UOU65782 UYQ65457:UYQ65782 VIM65457:VIM65782 VSI65457:VSI65782 WCE65457:WCE65782 WMA65457:WMA65782 WVW65457:WVW65782 RXW982961:RXW983286 JK130993:JK131318 TG130993:TG131318 ADC130993:ADC131318 AMY130993:AMY131318 AWU130993:AWU131318 BGQ130993:BGQ131318 BQM130993:BQM131318 CAI130993:CAI131318 CKE130993:CKE131318 CUA130993:CUA131318 DDW130993:DDW131318 DNS130993:DNS131318 DXO130993:DXO131318 EHK130993:EHK131318 ERG130993:ERG131318 FBC130993:FBC131318 FKY130993:FKY131318 FUU130993:FUU131318 GEQ130993:GEQ131318 GOM130993:GOM131318 GYI130993:GYI131318 HIE130993:HIE131318 HSA130993:HSA131318 IBW130993:IBW131318 ILS130993:ILS131318 IVO130993:IVO131318 JFK130993:JFK131318 JPG130993:JPG131318 JZC130993:JZC131318 KIY130993:KIY131318 KSU130993:KSU131318 LCQ130993:LCQ131318 LMM130993:LMM131318 LWI130993:LWI131318 MGE130993:MGE131318 MQA130993:MQA131318 MZW130993:MZW131318 NJS130993:NJS131318 NTO130993:NTO131318 ODK130993:ODK131318 ONG130993:ONG131318 OXC130993:OXC131318 PGY130993:PGY131318 PQU130993:PQU131318 QAQ130993:QAQ131318 QKM130993:QKM131318 QUI130993:QUI131318 REE130993:REE131318 ROA130993:ROA131318 RXW130993:RXW131318 SHS130993:SHS131318 SRO130993:SRO131318 TBK130993:TBK131318 TLG130993:TLG131318 TVC130993:TVC131318 UEY130993:UEY131318 UOU130993:UOU131318 UYQ130993:UYQ131318 VIM130993:VIM131318 VSI130993:VSI131318 WCE130993:WCE131318 WMA130993:WMA131318 WVW130993:WVW131318 SHS982961:SHS983286 JK196529:JK196854 TG196529:TG196854 ADC196529:ADC196854 AMY196529:AMY196854 AWU196529:AWU196854 BGQ196529:BGQ196854 BQM196529:BQM196854 CAI196529:CAI196854 CKE196529:CKE196854 CUA196529:CUA196854 DDW196529:DDW196854 DNS196529:DNS196854 DXO196529:DXO196854 EHK196529:EHK196854 ERG196529:ERG196854 FBC196529:FBC196854 FKY196529:FKY196854 FUU196529:FUU196854 GEQ196529:GEQ196854 GOM196529:GOM196854 GYI196529:GYI196854 HIE196529:HIE196854 HSA196529:HSA196854 IBW196529:IBW196854 ILS196529:ILS196854 IVO196529:IVO196854 JFK196529:JFK196854 JPG196529:JPG196854 JZC196529:JZC196854 KIY196529:KIY196854 KSU196529:KSU196854 LCQ196529:LCQ196854 LMM196529:LMM196854 LWI196529:LWI196854 MGE196529:MGE196854 MQA196529:MQA196854 MZW196529:MZW196854 NJS196529:NJS196854 NTO196529:NTO196854 ODK196529:ODK196854 ONG196529:ONG196854 OXC196529:OXC196854 PGY196529:PGY196854 PQU196529:PQU196854 QAQ196529:QAQ196854 QKM196529:QKM196854 QUI196529:QUI196854 REE196529:REE196854 ROA196529:ROA196854 RXW196529:RXW196854 SHS196529:SHS196854 SRO196529:SRO196854 TBK196529:TBK196854 TLG196529:TLG196854 TVC196529:TVC196854 UEY196529:UEY196854 UOU196529:UOU196854 UYQ196529:UYQ196854 VIM196529:VIM196854 VSI196529:VSI196854 WCE196529:WCE196854 WMA196529:WMA196854 WVW196529:WVW196854 SRO982961:SRO983286 JK262065:JK262390 TG262065:TG262390 ADC262065:ADC262390 AMY262065:AMY262390 AWU262065:AWU262390 BGQ262065:BGQ262390 BQM262065:BQM262390 CAI262065:CAI262390 CKE262065:CKE262390 CUA262065:CUA262390 DDW262065:DDW262390 DNS262065:DNS262390 DXO262065:DXO262390 EHK262065:EHK262390 ERG262065:ERG262390 FBC262065:FBC262390 FKY262065:FKY262390 FUU262065:FUU262390 GEQ262065:GEQ262390 GOM262065:GOM262390 GYI262065:GYI262390 HIE262065:HIE262390 HSA262065:HSA262390 IBW262065:IBW262390 ILS262065:ILS262390 IVO262065:IVO262390 JFK262065:JFK262390 JPG262065:JPG262390 JZC262065:JZC262390 KIY262065:KIY262390 KSU262065:KSU262390 LCQ262065:LCQ262390 LMM262065:LMM262390 LWI262065:LWI262390 MGE262065:MGE262390 MQA262065:MQA262390 MZW262065:MZW262390 NJS262065:NJS262390 NTO262065:NTO262390 ODK262065:ODK262390 ONG262065:ONG262390 OXC262065:OXC262390 PGY262065:PGY262390 PQU262065:PQU262390 QAQ262065:QAQ262390 QKM262065:QKM262390 QUI262065:QUI262390 REE262065:REE262390 ROA262065:ROA262390 RXW262065:RXW262390 SHS262065:SHS262390 SRO262065:SRO262390 TBK262065:TBK262390 TLG262065:TLG262390 TVC262065:TVC262390 UEY262065:UEY262390 UOU262065:UOU262390 UYQ262065:UYQ262390 VIM262065:VIM262390 VSI262065:VSI262390 WCE262065:WCE262390 WMA262065:WMA262390 WVW262065:WVW262390 TBK982961:TBK983286 JK327601:JK327926 TG327601:TG327926 ADC327601:ADC327926 AMY327601:AMY327926 AWU327601:AWU327926 BGQ327601:BGQ327926 BQM327601:BQM327926 CAI327601:CAI327926 CKE327601:CKE327926 CUA327601:CUA327926 DDW327601:DDW327926 DNS327601:DNS327926 DXO327601:DXO327926 EHK327601:EHK327926 ERG327601:ERG327926 FBC327601:FBC327926 FKY327601:FKY327926 FUU327601:FUU327926 GEQ327601:GEQ327926 GOM327601:GOM327926 GYI327601:GYI327926 HIE327601:HIE327926 HSA327601:HSA327926 IBW327601:IBW327926 ILS327601:ILS327926 IVO327601:IVO327926 JFK327601:JFK327926 JPG327601:JPG327926 JZC327601:JZC327926 KIY327601:KIY327926 KSU327601:KSU327926 LCQ327601:LCQ327926 LMM327601:LMM327926 LWI327601:LWI327926 MGE327601:MGE327926 MQA327601:MQA327926 MZW327601:MZW327926 NJS327601:NJS327926 NTO327601:NTO327926 ODK327601:ODK327926 ONG327601:ONG327926 OXC327601:OXC327926 PGY327601:PGY327926 PQU327601:PQU327926 QAQ327601:QAQ327926 QKM327601:QKM327926 QUI327601:QUI327926 REE327601:REE327926 ROA327601:ROA327926 RXW327601:RXW327926 SHS327601:SHS327926 SRO327601:SRO327926 TBK327601:TBK327926 TLG327601:TLG327926 TVC327601:TVC327926 UEY327601:UEY327926 UOU327601:UOU327926 UYQ327601:UYQ327926 VIM327601:VIM327926 VSI327601:VSI327926 WCE327601:WCE327926 WMA327601:WMA327926 WVW327601:WVW327926 TLG982961:TLG983286 JK393137:JK393462 TG393137:TG393462 ADC393137:ADC393462 AMY393137:AMY393462 AWU393137:AWU393462 BGQ393137:BGQ393462 BQM393137:BQM393462 CAI393137:CAI393462 CKE393137:CKE393462 CUA393137:CUA393462 DDW393137:DDW393462 DNS393137:DNS393462 DXO393137:DXO393462 EHK393137:EHK393462 ERG393137:ERG393462 FBC393137:FBC393462 FKY393137:FKY393462 FUU393137:FUU393462 GEQ393137:GEQ393462 GOM393137:GOM393462 GYI393137:GYI393462 HIE393137:HIE393462 HSA393137:HSA393462 IBW393137:IBW393462 ILS393137:ILS393462 IVO393137:IVO393462 JFK393137:JFK393462 JPG393137:JPG393462 JZC393137:JZC393462 KIY393137:KIY393462 KSU393137:KSU393462 LCQ393137:LCQ393462 LMM393137:LMM393462 LWI393137:LWI393462 MGE393137:MGE393462 MQA393137:MQA393462 MZW393137:MZW393462 NJS393137:NJS393462 NTO393137:NTO393462 ODK393137:ODK393462 ONG393137:ONG393462 OXC393137:OXC393462 PGY393137:PGY393462 PQU393137:PQU393462 QAQ393137:QAQ393462 QKM393137:QKM393462 QUI393137:QUI393462 REE393137:REE393462 ROA393137:ROA393462 RXW393137:RXW393462 SHS393137:SHS393462 SRO393137:SRO393462 TBK393137:TBK393462 TLG393137:TLG393462 TVC393137:TVC393462 UEY393137:UEY393462 UOU393137:UOU393462 UYQ393137:UYQ393462 VIM393137:VIM393462 VSI393137:VSI393462 WCE393137:WCE393462 WMA393137:WMA393462 WVW393137:WVW393462 TVC982961:TVC983286 JK458673:JK458998 TG458673:TG458998 ADC458673:ADC458998 AMY458673:AMY458998 AWU458673:AWU458998 BGQ458673:BGQ458998 BQM458673:BQM458998 CAI458673:CAI458998 CKE458673:CKE458998 CUA458673:CUA458998 DDW458673:DDW458998 DNS458673:DNS458998 DXO458673:DXO458998 EHK458673:EHK458998 ERG458673:ERG458998 FBC458673:FBC458998 FKY458673:FKY458998 FUU458673:FUU458998 GEQ458673:GEQ458998 GOM458673:GOM458998 GYI458673:GYI458998 HIE458673:HIE458998 HSA458673:HSA458998 IBW458673:IBW458998 ILS458673:ILS458998 IVO458673:IVO458998 JFK458673:JFK458998 JPG458673:JPG458998 JZC458673:JZC458998 KIY458673:KIY458998 KSU458673:KSU458998 LCQ458673:LCQ458998 LMM458673:LMM458998 LWI458673:LWI458998 MGE458673:MGE458998 MQA458673:MQA458998 MZW458673:MZW458998 NJS458673:NJS458998 NTO458673:NTO458998 ODK458673:ODK458998 ONG458673:ONG458998 OXC458673:OXC458998 PGY458673:PGY458998 PQU458673:PQU458998 QAQ458673:QAQ458998 QKM458673:QKM458998 QUI458673:QUI458998 REE458673:REE458998 ROA458673:ROA458998 RXW458673:RXW458998 SHS458673:SHS458998 SRO458673:SRO458998 TBK458673:TBK458998 TLG458673:TLG458998 TVC458673:TVC458998 UEY458673:UEY458998 UOU458673:UOU458998 UYQ458673:UYQ458998 VIM458673:VIM458998 VSI458673:VSI458998 WCE458673:WCE458998 WMA458673:WMA458998 WVW458673:WVW458998 UEY982961:UEY983286 JK524209:JK524534 TG524209:TG524534 ADC524209:ADC524534 AMY524209:AMY524534 AWU524209:AWU524534 BGQ524209:BGQ524534 BQM524209:BQM524534 CAI524209:CAI524534 CKE524209:CKE524534 CUA524209:CUA524534 DDW524209:DDW524534 DNS524209:DNS524534 DXO524209:DXO524534 EHK524209:EHK524534 ERG524209:ERG524534 FBC524209:FBC524534 FKY524209:FKY524534 FUU524209:FUU524534 GEQ524209:GEQ524534 GOM524209:GOM524534 GYI524209:GYI524534 HIE524209:HIE524534 HSA524209:HSA524534 IBW524209:IBW524534 ILS524209:ILS524534 IVO524209:IVO524534 JFK524209:JFK524534 JPG524209:JPG524534 JZC524209:JZC524534 KIY524209:KIY524534 KSU524209:KSU524534 LCQ524209:LCQ524534 LMM524209:LMM524534 LWI524209:LWI524534 MGE524209:MGE524534 MQA524209:MQA524534 MZW524209:MZW524534 NJS524209:NJS524534 NTO524209:NTO524534 ODK524209:ODK524534 ONG524209:ONG524534 OXC524209:OXC524534 PGY524209:PGY524534 PQU524209:PQU524534 QAQ524209:QAQ524534 QKM524209:QKM524534 QUI524209:QUI524534 REE524209:REE524534 ROA524209:ROA524534 RXW524209:RXW524534 SHS524209:SHS524534 SRO524209:SRO524534 TBK524209:TBK524534 TLG524209:TLG524534 TVC524209:TVC524534 UEY524209:UEY524534 UOU524209:UOU524534 UYQ524209:UYQ524534 VIM524209:VIM524534 VSI524209:VSI524534 WCE524209:WCE524534 WMA524209:WMA524534 WVW524209:WVW524534 UOU982961:UOU983286 JK589745:JK590070 TG589745:TG590070 ADC589745:ADC590070 AMY589745:AMY590070 AWU589745:AWU590070 BGQ589745:BGQ590070 BQM589745:BQM590070 CAI589745:CAI590070 CKE589745:CKE590070 CUA589745:CUA590070 DDW589745:DDW590070 DNS589745:DNS590070 DXO589745:DXO590070 EHK589745:EHK590070 ERG589745:ERG590070 FBC589745:FBC590070 FKY589745:FKY590070 FUU589745:FUU590070 GEQ589745:GEQ590070 GOM589745:GOM590070 GYI589745:GYI590070 HIE589745:HIE590070 HSA589745:HSA590070 IBW589745:IBW590070 ILS589745:ILS590070 IVO589745:IVO590070 JFK589745:JFK590070 JPG589745:JPG590070 JZC589745:JZC590070 KIY589745:KIY590070 KSU589745:KSU590070 LCQ589745:LCQ590070 LMM589745:LMM590070 LWI589745:LWI590070 MGE589745:MGE590070 MQA589745:MQA590070 MZW589745:MZW590070 NJS589745:NJS590070 NTO589745:NTO590070 ODK589745:ODK590070 ONG589745:ONG590070 OXC589745:OXC590070 PGY589745:PGY590070 PQU589745:PQU590070 QAQ589745:QAQ590070 QKM589745:QKM590070 QUI589745:QUI590070 REE589745:REE590070 ROA589745:ROA590070 RXW589745:RXW590070 SHS589745:SHS590070 SRO589745:SRO590070 TBK589745:TBK590070 TLG589745:TLG590070 TVC589745:TVC590070 UEY589745:UEY590070 UOU589745:UOU590070 UYQ589745:UYQ590070 VIM589745:VIM590070 VSI589745:VSI590070 WCE589745:WCE590070 WMA589745:WMA590070 WVW589745:WVW590070 UYQ982961:UYQ983286 JK655281:JK655606 TG655281:TG655606 ADC655281:ADC655606 AMY655281:AMY655606 AWU655281:AWU655606 BGQ655281:BGQ655606 BQM655281:BQM655606 CAI655281:CAI655606 CKE655281:CKE655606 CUA655281:CUA655606 DDW655281:DDW655606 DNS655281:DNS655606 DXO655281:DXO655606 EHK655281:EHK655606 ERG655281:ERG655606 FBC655281:FBC655606 FKY655281:FKY655606 FUU655281:FUU655606 GEQ655281:GEQ655606 GOM655281:GOM655606 GYI655281:GYI655606 HIE655281:HIE655606 HSA655281:HSA655606 IBW655281:IBW655606 ILS655281:ILS655606 IVO655281:IVO655606 JFK655281:JFK655606 JPG655281:JPG655606 JZC655281:JZC655606 KIY655281:KIY655606 KSU655281:KSU655606 LCQ655281:LCQ655606 LMM655281:LMM655606 LWI655281:LWI655606 MGE655281:MGE655606 MQA655281:MQA655606 MZW655281:MZW655606 NJS655281:NJS655606 NTO655281:NTO655606 ODK655281:ODK655606 ONG655281:ONG655606 OXC655281:OXC655606 PGY655281:PGY655606 PQU655281:PQU655606 QAQ655281:QAQ655606 QKM655281:QKM655606 QUI655281:QUI655606 REE655281:REE655606 ROA655281:ROA655606 RXW655281:RXW655606 SHS655281:SHS655606 SRO655281:SRO655606 TBK655281:TBK655606 TLG655281:TLG655606 TVC655281:TVC655606 UEY655281:UEY655606 UOU655281:UOU655606 UYQ655281:UYQ655606 VIM655281:VIM655606 VSI655281:VSI655606 WCE655281:WCE655606 WMA655281:WMA655606 WVW655281:WVW655606 VIM982961:VIM983286 JK720817:JK721142 TG720817:TG721142 ADC720817:ADC721142 AMY720817:AMY721142 AWU720817:AWU721142 BGQ720817:BGQ721142 BQM720817:BQM721142 CAI720817:CAI721142 CKE720817:CKE721142 CUA720817:CUA721142 DDW720817:DDW721142 DNS720817:DNS721142 DXO720817:DXO721142 EHK720817:EHK721142 ERG720817:ERG721142 FBC720817:FBC721142 FKY720817:FKY721142 FUU720817:FUU721142 GEQ720817:GEQ721142 GOM720817:GOM721142 GYI720817:GYI721142 HIE720817:HIE721142 HSA720817:HSA721142 IBW720817:IBW721142 ILS720817:ILS721142 IVO720817:IVO721142 JFK720817:JFK721142 JPG720817:JPG721142 JZC720817:JZC721142 KIY720817:KIY721142 KSU720817:KSU721142 LCQ720817:LCQ721142 LMM720817:LMM721142 LWI720817:LWI721142 MGE720817:MGE721142 MQA720817:MQA721142 MZW720817:MZW721142 NJS720817:NJS721142 NTO720817:NTO721142 ODK720817:ODK721142 ONG720817:ONG721142 OXC720817:OXC721142 PGY720817:PGY721142 PQU720817:PQU721142 QAQ720817:QAQ721142 QKM720817:QKM721142 QUI720817:QUI721142 REE720817:REE721142 ROA720817:ROA721142 RXW720817:RXW721142 SHS720817:SHS721142 SRO720817:SRO721142 TBK720817:TBK721142 TLG720817:TLG721142 TVC720817:TVC721142 UEY720817:UEY721142 UOU720817:UOU721142 UYQ720817:UYQ721142 VIM720817:VIM721142 VSI720817:VSI721142 WCE720817:WCE721142 WMA720817:WMA721142 WVW720817:WVW721142 VSI982961:VSI983286 JK786353:JK786678 TG786353:TG786678 ADC786353:ADC786678 AMY786353:AMY786678 AWU786353:AWU786678 BGQ786353:BGQ786678 BQM786353:BQM786678 CAI786353:CAI786678 CKE786353:CKE786678 CUA786353:CUA786678 DDW786353:DDW786678 DNS786353:DNS786678 DXO786353:DXO786678 EHK786353:EHK786678 ERG786353:ERG786678 FBC786353:FBC786678 FKY786353:FKY786678 FUU786353:FUU786678 GEQ786353:GEQ786678 GOM786353:GOM786678 GYI786353:GYI786678 HIE786353:HIE786678 HSA786353:HSA786678 IBW786353:IBW786678 ILS786353:ILS786678 IVO786353:IVO786678 JFK786353:JFK786678 JPG786353:JPG786678 JZC786353:JZC786678 KIY786353:KIY786678 KSU786353:KSU786678 LCQ786353:LCQ786678 LMM786353:LMM786678 LWI786353:LWI786678 MGE786353:MGE786678 MQA786353:MQA786678 MZW786353:MZW786678 NJS786353:NJS786678 NTO786353:NTO786678 ODK786353:ODK786678 ONG786353:ONG786678 OXC786353:OXC786678 PGY786353:PGY786678 PQU786353:PQU786678 QAQ786353:QAQ786678 QKM786353:QKM786678 QUI786353:QUI786678 REE786353:REE786678 ROA786353:ROA786678 RXW786353:RXW786678 SHS786353:SHS786678 SRO786353:SRO786678 TBK786353:TBK786678 TLG786353:TLG786678 TVC786353:TVC786678 UEY786353:UEY786678 UOU786353:UOU786678 UYQ786353:UYQ786678 VIM786353:VIM786678 VSI786353:VSI786678 WCE786353:WCE786678 WMA786353:WMA786678 WVW786353:WVW786678 WCE982961:WCE983286 JK851889:JK852214 TG851889:TG852214 ADC851889:ADC852214 AMY851889:AMY852214 AWU851889:AWU852214 BGQ851889:BGQ852214 BQM851889:BQM852214 CAI851889:CAI852214 CKE851889:CKE852214 CUA851889:CUA852214 DDW851889:DDW852214 DNS851889:DNS852214 DXO851889:DXO852214 EHK851889:EHK852214 ERG851889:ERG852214 FBC851889:FBC852214 FKY851889:FKY852214 FUU851889:FUU852214 GEQ851889:GEQ852214 GOM851889:GOM852214 GYI851889:GYI852214 HIE851889:HIE852214 HSA851889:HSA852214 IBW851889:IBW852214 ILS851889:ILS852214 IVO851889:IVO852214 JFK851889:JFK852214 JPG851889:JPG852214 JZC851889:JZC852214 KIY851889:KIY852214 KSU851889:KSU852214 LCQ851889:LCQ852214 LMM851889:LMM852214 LWI851889:LWI852214 MGE851889:MGE852214 MQA851889:MQA852214 MZW851889:MZW852214 NJS851889:NJS852214 NTO851889:NTO852214 ODK851889:ODK852214 ONG851889:ONG852214 OXC851889:OXC852214 PGY851889:PGY852214 PQU851889:PQU852214 QAQ851889:QAQ852214 QKM851889:QKM852214 QUI851889:QUI852214 REE851889:REE852214 ROA851889:ROA852214 RXW851889:RXW852214 SHS851889:SHS852214 SRO851889:SRO852214 TBK851889:TBK852214 TLG851889:TLG852214 TVC851889:TVC852214 UEY851889:UEY852214 UOU851889:UOU852214 UYQ851889:UYQ852214 VIM851889:VIM852214 VSI851889:VSI852214 WCE851889:WCE852214 WMA851889:WMA852214 WVW851889:WVW852214 WMA982961:WMA983286 JK917425:JK917750 TG917425:TG917750 ADC917425:ADC917750 AMY917425:AMY917750 AWU917425:AWU917750 BGQ917425:BGQ917750 BQM917425:BQM917750 CAI917425:CAI917750 CKE917425:CKE917750 CUA917425:CUA917750 DDW917425:DDW917750 DNS917425:DNS917750 DXO917425:DXO917750 EHK917425:EHK917750 ERG917425:ERG917750 FBC917425:FBC917750 FKY917425:FKY917750 FUU917425:FUU917750 GEQ917425:GEQ917750 GOM917425:GOM917750 GYI917425:GYI917750 HIE917425:HIE917750 HSA917425:HSA917750 IBW917425:IBW917750 ILS917425:ILS917750 IVO917425:IVO917750 JFK917425:JFK917750 JPG917425:JPG917750 JZC917425:JZC917750 KIY917425:KIY917750 KSU917425:KSU917750 LCQ917425:LCQ917750 LMM917425:LMM917750 LWI917425:LWI917750 MGE917425:MGE917750 MQA917425:MQA917750 MZW917425:MZW917750 NJS917425:NJS917750 NTO917425:NTO917750 ODK917425:ODK917750 ONG917425:ONG917750 OXC917425:OXC917750 PGY917425:PGY917750 PQU917425:PQU917750 QAQ917425:QAQ917750 QKM917425:QKM917750 QUI917425:QUI917750 REE917425:REE917750 ROA917425:ROA917750 RXW917425:RXW917750 SHS917425:SHS917750 SRO917425:SRO917750 TBK917425:TBK917750 TLG917425:TLG917750 TVC917425:TVC917750 UEY917425:UEY917750 UOU917425:UOU917750 UYQ917425:UYQ917750 VIM917425:VIM917750 VSI917425:VSI917750 WCE917425:WCE917750 WMA917425:WMA917750 WVW917425:WVW917750 WVW982961:WVW983286 JK982961:JK983286 TG982961:TG983286 ADC982961:ADC983286 AMY982961:AMY983286 AWU982961:AWU983286 BGQ982961:BGQ983286 BQM982961:BQM983286 CAI982961:CAI983286 CKE982961:CKE983286 CUA982961:CUA983286 DDW982961:DDW983286 DNS982961:DNS983286 DXO982961:DXO983286 EHK982961:EHK983286 ERG982961:ERG983286 FBC982961:FBC983286 FKY982961:FKY983286 FUU982961:FUU983286 GEQ982961:GEQ983286 GOM982961:GOM983286 GYI982961:GYI983286 HIE982961:HIE983286 HSA982961:HSA983286 IBW982961:IBW983286 ILS982961:ILS983286 IVO982961:IVO983286 JFK982961:JFK983286 JPG982961:JPG983286 JZC982961:JZC983286 KIY982961:KIY983286 KSU982961:KSU983286 LCQ982961:LCQ983286 LMM982961:LMM983286 LWI982961:LWI983286 MGE982961:MGE983286 MQA982961:MQA983286 MZW982961:MZW983286 NJS982961:NJS983286 NTO982961:NTO983286 ODK982961:ODK983286 ONG982961:ONG983286 OXC982961:OXC983286 PGY982961:PGY983286 PQU982961:PQU983286 QAQ982961:QAQ983286 QKM982961:QKM983286 QUI982961:QUI983286" xr:uid="{00000000-0002-0000-0D00-000001000000}">
      <formula1>0</formula1>
      <formula2>100</formula2>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 operator="containsText" id="{43A064DB-9190-4161-84CF-F41810EF3888}">
            <xm:f>NOT(ISERROR(SEARCH(#REF!,O11)))</xm:f>
            <xm:f>#REF!</xm:f>
            <x14:dxf/>
          </x14:cfRule>
          <xm:sqref>O11 O14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2000000}">
          <x14:formula1>
            <xm:f>'LISTAS PPTO'!$AW$12:$AW$13</xm:f>
          </x14:formula1>
          <xm:sqref>G25:G450</xm:sqref>
        </x14:dataValidation>
        <x14:dataValidation type="list" allowBlank="1" showInputMessage="1" showErrorMessage="1" xr:uid="{00000000-0002-0000-0D00-000003000000}">
          <x14:formula1>
            <xm:f>'LISTAS PPTO'!$AW$15:$AW$19</xm:f>
          </x14:formula1>
          <xm:sqref>F25:F450</xm:sqref>
        </x14:dataValidation>
        <x14:dataValidation type="list" allowBlank="1" showInputMessage="1" showErrorMessage="1" xr:uid="{00000000-0002-0000-0D00-000004000000}">
          <x14:formula1>
            <xm:f>LISTAS!$G$108:$G$208</xm:f>
          </x14:formula1>
          <xm:sqref>W25:W450</xm:sqref>
        </x14:dataValidation>
        <x14:dataValidation type="list" allowBlank="1" showInputMessage="1" showErrorMessage="1" xr:uid="{00000000-0002-0000-0D00-000005000000}">
          <x14:formula1>
            <xm:f>LISTAS!$I$108:$I$125</xm:f>
          </x14:formula1>
          <xm:sqref>H25:H450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4" tint="0.39997558519241921"/>
  </sheetPr>
  <dimension ref="A2:ACR133"/>
  <sheetViews>
    <sheetView topLeftCell="A14" zoomScale="95" zoomScaleNormal="95" workbookViewId="0">
      <selection activeCell="B44" sqref="B44"/>
    </sheetView>
  </sheetViews>
  <sheetFormatPr baseColWidth="10" defaultColWidth="11.42578125" defaultRowHeight="15" x14ac:dyDescent="0.25"/>
  <cols>
    <col min="1" max="1" width="43" bestFit="1" customWidth="1"/>
    <col min="2" max="2" width="25.28515625" bestFit="1" customWidth="1"/>
    <col min="3" max="3" width="7.5703125" hidden="1" customWidth="1"/>
    <col min="4" max="4" width="7.85546875" hidden="1" customWidth="1"/>
    <col min="5" max="5" width="30.42578125" bestFit="1" customWidth="1"/>
    <col min="6" max="6" width="21.5703125" bestFit="1" customWidth="1"/>
    <col min="7" max="7" width="22.7109375" bestFit="1" customWidth="1"/>
    <col min="8" max="8" width="27" bestFit="1" customWidth="1"/>
    <col min="9" max="9" width="20.7109375" customWidth="1"/>
    <col min="10" max="10" width="23" customWidth="1"/>
    <col min="11" max="11" width="16.28515625" customWidth="1"/>
    <col min="12" max="12" width="20" customWidth="1"/>
    <col min="13" max="13" width="20.28515625" customWidth="1"/>
    <col min="14" max="14" width="33.28515625" customWidth="1"/>
    <col min="15" max="15" width="18.28515625" customWidth="1"/>
    <col min="16" max="16" width="22.28515625" customWidth="1"/>
  </cols>
  <sheetData>
    <row r="2" spans="1:772" s="391" customFormat="1" ht="51" customHeight="1" x14ac:dyDescent="0.25">
      <c r="A2" s="2514"/>
      <c r="B2" s="2221" t="s">
        <v>1669</v>
      </c>
      <c r="C2" s="2222"/>
      <c r="D2" s="2222"/>
      <c r="E2" s="2222"/>
      <c r="F2" s="2222"/>
      <c r="G2" s="2222"/>
      <c r="H2" s="2222"/>
      <c r="I2" s="2222"/>
      <c r="J2" s="2222"/>
      <c r="K2" s="2222"/>
      <c r="L2" s="2223"/>
      <c r="M2" s="2516" t="s">
        <v>1595</v>
      </c>
      <c r="N2" s="2517"/>
      <c r="V2" s="811" t="s">
        <v>759</v>
      </c>
      <c r="ACR2" s="391" t="s">
        <v>1475</v>
      </c>
    </row>
    <row r="3" spans="1:772" ht="41.25" customHeight="1" x14ac:dyDescent="0.25">
      <c r="A3" s="2515"/>
      <c r="B3" s="2224"/>
      <c r="C3" s="2225"/>
      <c r="D3" s="2225"/>
      <c r="E3" s="2225"/>
      <c r="F3" s="2225"/>
      <c r="G3" s="2225"/>
      <c r="H3" s="2225"/>
      <c r="I3" s="2225"/>
      <c r="J3" s="2225"/>
      <c r="K3" s="2225"/>
      <c r="L3" s="2226"/>
      <c r="M3" s="2518" t="s">
        <v>1731</v>
      </c>
      <c r="N3" s="2519"/>
      <c r="ACR3" t="s">
        <v>1476</v>
      </c>
    </row>
    <row r="4" spans="1:772" ht="21" x14ac:dyDescent="0.35">
      <c r="A4" s="2520" t="s">
        <v>1739</v>
      </c>
      <c r="B4" s="2520"/>
      <c r="C4" s="2520"/>
      <c r="D4" s="2520"/>
      <c r="E4" s="2520"/>
      <c r="F4" s="2520"/>
      <c r="G4" s="2520"/>
      <c r="H4" s="2520"/>
      <c r="I4" s="812"/>
      <c r="J4" s="812"/>
      <c r="M4" s="812"/>
      <c r="ACR4" s="391" t="s">
        <v>1477</v>
      </c>
    </row>
    <row r="5" spans="1:772" x14ac:dyDescent="0.25">
      <c r="A5" s="813"/>
      <c r="B5" s="813"/>
      <c r="C5" s="813"/>
      <c r="D5" s="813"/>
      <c r="E5" s="813"/>
      <c r="F5" s="813"/>
      <c r="G5" s="813"/>
      <c r="H5" s="813"/>
      <c r="I5" s="812"/>
      <c r="J5" s="812"/>
      <c r="M5" s="812"/>
    </row>
    <row r="6" spans="1:772" s="299" customFormat="1" ht="32.25" customHeight="1" x14ac:dyDescent="0.35">
      <c r="A6" s="694" t="s">
        <v>0</v>
      </c>
      <c r="B6" s="2521" t="str">
        <f>+FENECIMIENTO!D4</f>
        <v xml:space="preserve">80000 - DIRECCIÓN SECTOR MOVILIDAD </v>
      </c>
      <c r="C6" s="2521"/>
      <c r="D6" s="2521"/>
      <c r="E6" s="2521"/>
      <c r="F6" s="2521"/>
      <c r="G6" s="597"/>
      <c r="H6" s="597"/>
      <c r="I6" s="784"/>
      <c r="J6" s="784"/>
      <c r="K6" s="784"/>
    </row>
    <row r="7" spans="1:772" s="299" customFormat="1" ht="37.5" customHeight="1" x14ac:dyDescent="0.35">
      <c r="A7" s="785" t="s">
        <v>1144</v>
      </c>
      <c r="B7" s="2522" t="str">
        <f>+FENECIMIENTO!D5</f>
        <v xml:space="preserve">262 - Empresa de Transporte del Tercer Milenio - Transmilenio S.A. </v>
      </c>
      <c r="C7" s="2523"/>
      <c r="D7" s="2523"/>
      <c r="E7" s="2523"/>
      <c r="F7" s="2523"/>
      <c r="H7" s="694" t="s">
        <v>2</v>
      </c>
      <c r="I7" s="860">
        <f>+FENECIMIENTO!K5</f>
        <v>2024</v>
      </c>
      <c r="J7" s="702"/>
      <c r="K7" s="696"/>
    </row>
    <row r="8" spans="1:772" s="299" customFormat="1" ht="19.899999999999999" customHeight="1" x14ac:dyDescent="0.35">
      <c r="A8" s="694" t="s">
        <v>1589</v>
      </c>
      <c r="B8" s="2524">
        <f>+FENECIMIENTO!D6</f>
        <v>2025</v>
      </c>
      <c r="C8" s="2524"/>
      <c r="D8" s="2524"/>
      <c r="E8" s="786"/>
      <c r="F8" s="787"/>
      <c r="H8" s="694" t="s">
        <v>3</v>
      </c>
      <c r="I8" s="859">
        <f>+FENECIMIENTO!K6</f>
        <v>87</v>
      </c>
      <c r="J8" s="702"/>
      <c r="K8" s="696"/>
      <c r="L8" s="788"/>
    </row>
    <row r="9" spans="1:772" s="299" customFormat="1" ht="34.5" customHeight="1" x14ac:dyDescent="0.35">
      <c r="A9" s="694" t="s">
        <v>4</v>
      </c>
      <c r="B9" s="2525">
        <f>+FENECIMIENTO!D7</f>
        <v>45693</v>
      </c>
      <c r="C9" s="2525"/>
      <c r="D9" s="2525"/>
      <c r="E9" s="2525"/>
      <c r="F9" s="2525"/>
      <c r="H9" s="1327" t="s">
        <v>1145</v>
      </c>
      <c r="I9" s="975">
        <f>+FENECIMIENTO!K7</f>
        <v>45693</v>
      </c>
      <c r="J9" s="702"/>
      <c r="K9" s="702"/>
      <c r="L9" s="788"/>
    </row>
    <row r="10" spans="1:772" s="299" customFormat="1" ht="19.899999999999999" customHeight="1" thickBot="1" x14ac:dyDescent="0.4">
      <c r="B10" s="694"/>
      <c r="C10" s="973"/>
      <c r="D10" s="973"/>
      <c r="E10" s="973"/>
      <c r="I10" s="695"/>
      <c r="J10" s="860"/>
      <c r="K10" s="702"/>
      <c r="L10" s="702"/>
      <c r="M10" s="788"/>
    </row>
    <row r="11" spans="1:772" ht="45.75" thickTop="1" x14ac:dyDescent="0.25">
      <c r="A11" s="814" t="s">
        <v>1478</v>
      </c>
      <c r="B11" s="814" t="s">
        <v>1479</v>
      </c>
      <c r="C11" s="1410" t="s">
        <v>1480</v>
      </c>
      <c r="D11" s="1410" t="s">
        <v>1481</v>
      </c>
      <c r="E11" s="1472" t="s">
        <v>1740</v>
      </c>
      <c r="F11" s="1472" t="s">
        <v>1741</v>
      </c>
      <c r="G11" s="1472" t="s">
        <v>192</v>
      </c>
      <c r="H11" s="1472" t="s">
        <v>194</v>
      </c>
      <c r="I11" s="2511" t="s">
        <v>1742</v>
      </c>
      <c r="J11" s="2512"/>
      <c r="K11" s="2512"/>
      <c r="L11" s="2512"/>
      <c r="M11" s="2513"/>
    </row>
    <row r="12" spans="1:772" ht="30.75" customHeight="1" x14ac:dyDescent="0.25">
      <c r="A12" s="1421" t="s">
        <v>1780</v>
      </c>
      <c r="B12" s="1411">
        <v>0.35</v>
      </c>
      <c r="C12" s="815">
        <f t="shared" ref="C12:D14" si="0">IF(ISNUMBER(G12),$B12,0)</f>
        <v>0.35</v>
      </c>
      <c r="D12" s="815">
        <f t="shared" si="0"/>
        <v>0.35</v>
      </c>
      <c r="E12" s="1473">
        <f>IF(B12="","",IFERROR(C12/$C$17,""))</f>
        <v>0.53846153846153844</v>
      </c>
      <c r="F12" s="1473">
        <f>IF(B12="","",IFERROR(D12/$D$17,""))</f>
        <v>0.53846153846153844</v>
      </c>
      <c r="G12" s="1474">
        <f>IF(COUNTIF($I$26:$I$48,"EFICACIA"),AVERAGEIF($I26:$I48,"EFICACIA",$L$26:$L$48),"")</f>
        <v>0.8</v>
      </c>
      <c r="H12" s="1474">
        <f>IF(COUNTIF($I$26:$I$48,"EFICIENCIA"),AVERAGEIF($I26:$I48,"EFICIENCIA",$L$26:$L$48),"")</f>
        <v>0.5</v>
      </c>
      <c r="I12" s="816" t="s">
        <v>1482</v>
      </c>
      <c r="J12" s="1508" t="s">
        <v>170</v>
      </c>
      <c r="K12" s="817" t="s">
        <v>178</v>
      </c>
      <c r="L12" s="2526" t="s">
        <v>199</v>
      </c>
      <c r="M12" s="2527"/>
    </row>
    <row r="13" spans="1:772" ht="26.45" customHeight="1" x14ac:dyDescent="0.25">
      <c r="A13" s="1421" t="s">
        <v>1483</v>
      </c>
      <c r="B13" s="1411">
        <v>0.35</v>
      </c>
      <c r="C13" s="815">
        <f t="shared" si="0"/>
        <v>0</v>
      </c>
      <c r="D13" s="815">
        <f t="shared" si="0"/>
        <v>0</v>
      </c>
      <c r="E13" s="1473">
        <f>IF(B13="","",IFERROR(C13/$C$17,""))</f>
        <v>0</v>
      </c>
      <c r="F13" s="1473">
        <f>IF(B13="","",IFERROR(D13/$D$17,""))</f>
        <v>0</v>
      </c>
      <c r="G13" s="1474" t="str">
        <f>IF(COUNTIF($I$49:$I$76,"EFICACIA"),AVERAGEIF($I49:$I76,"EFICACIA",$L$49:$L$76),"")</f>
        <v/>
      </c>
      <c r="H13" s="1474" t="str">
        <f>IF(COUNTIF($I$49:$I$76,"EFICIENCIA"),AVERAGEIF($I49:$I76,"EFICIENCIA",$L$49:$L$76),"")</f>
        <v/>
      </c>
      <c r="I13" s="818" t="s">
        <v>192</v>
      </c>
      <c r="J13" s="819" t="s">
        <v>1484</v>
      </c>
      <c r="K13" s="820">
        <f>G17</f>
        <v>0.87548076923076923</v>
      </c>
      <c r="L13" s="2528" t="str">
        <f>IF(K13="","",IF(K13&gt;=75%,"EFICAZ","INEFICAZ"))</f>
        <v>EFICAZ</v>
      </c>
      <c r="M13" s="2529"/>
    </row>
    <row r="14" spans="1:772" ht="28.15" customHeight="1" thickBot="1" x14ac:dyDescent="0.3">
      <c r="A14" s="1421" t="s">
        <v>1822</v>
      </c>
      <c r="B14" s="1411">
        <v>0.15</v>
      </c>
      <c r="C14" s="815">
        <f t="shared" si="0"/>
        <v>0.15</v>
      </c>
      <c r="D14" s="815">
        <f>IF(ISNUMBER(H14),$B14,0)</f>
        <v>0.15</v>
      </c>
      <c r="E14" s="1473">
        <f>IF(B14="","",IFERROR(C14/$C$17,""))</f>
        <v>0.23076923076923075</v>
      </c>
      <c r="F14" s="1473">
        <f>IF(B14="","",IFERROR(D14/$D$17,""))</f>
        <v>0.23076923076923075</v>
      </c>
      <c r="G14" s="1474">
        <f>IF(COUNTIF($I$77:$I$93,"EFICACIA"),AVERAGEIF($I77:$I93,"EFICACIA",$L$77:$L$93),"")</f>
        <v>1</v>
      </c>
      <c r="H14" s="1474">
        <f>IF(COUNTIF($I$77:$I$93,"EFICIENCIA"),AVERAGEIF($I77:$I93,"EFICIENCIA",$L$77:$L$93),"")</f>
        <v>0.8833333333333333</v>
      </c>
      <c r="I14" s="1642" t="s">
        <v>194</v>
      </c>
      <c r="J14" s="1643" t="s">
        <v>1484</v>
      </c>
      <c r="K14" s="1644">
        <f>+H17</f>
        <v>0.64919028340080964</v>
      </c>
      <c r="L14" s="2530" t="str">
        <f>IF(K14="","",IF(K14&gt;=75%,"EFICIENTE","INEFICIENTE"))</f>
        <v>INEFICIENTE</v>
      </c>
      <c r="M14" s="2531"/>
    </row>
    <row r="15" spans="1:772" ht="25.9" customHeight="1" thickTop="1" x14ac:dyDescent="0.25">
      <c r="A15" s="1421" t="s">
        <v>1823</v>
      </c>
      <c r="B15" s="1411">
        <v>0.15</v>
      </c>
      <c r="C15" s="815">
        <f>IF(ISNUMBER(G15),$B15,0)</f>
        <v>0.15</v>
      </c>
      <c r="D15" s="815">
        <f>IF(ISNUMBER(H15),$B15,0)</f>
        <v>0.15</v>
      </c>
      <c r="E15" s="1473">
        <f>IF(B15="","",IFERROR(C15/$C$17,""))</f>
        <v>0.23076923076923075</v>
      </c>
      <c r="F15" s="1473">
        <f>IF(B15="","",IFERROR(D15/$D$17,""))</f>
        <v>0.23076923076923075</v>
      </c>
      <c r="G15" s="1474">
        <f>IF(COUNTIF($I$94:$I$115,"EFICACIA"),AVERAGEIF($I94:$I115,"EFICACIA",$L$94:$L$115),"")</f>
        <v>0.92708333333333337</v>
      </c>
      <c r="H15" s="1474">
        <f>IF(COUNTIF($I$94:$I$115,"EFICIENCIA"),AVERAGEIF($I94:$I115,"EFICIENCIA",$L$94:$L$115),"")</f>
        <v>0.76315789473684204</v>
      </c>
      <c r="I15" s="1641"/>
    </row>
    <row r="16" spans="1:772" ht="25.9" customHeight="1" x14ac:dyDescent="0.25">
      <c r="A16" s="1421" t="s">
        <v>1366</v>
      </c>
      <c r="B16" s="1411"/>
      <c r="C16" s="815">
        <f>IF(ISNUMBER(G16),$B16,0)</f>
        <v>0</v>
      </c>
      <c r="D16" s="815">
        <f>IF(ISNUMBER(H16),$B16,0)</f>
        <v>0</v>
      </c>
      <c r="E16" s="1473" t="str">
        <f>IF(B16="","",(IFERROR(C16/$C$17,"")))</f>
        <v/>
      </c>
      <c r="F16" s="1473" t="str">
        <f>IF(B16="","",IFERROR(D16/$D$17,""))</f>
        <v/>
      </c>
      <c r="G16" s="1474" t="str">
        <f>IF(COUNTIF($I$116:$I$132,"EFICACIA"),AVERAGEIF($I116:$I132,"EFICACIA",$L$116:$L$132),"")</f>
        <v/>
      </c>
      <c r="H16" s="1474" t="str">
        <f>IF(COUNTIF($I$116:$I$132,"EFICIENCIA"),AVERAGEIF($I116:$I132,"EFICIENCIA",$L$116:$L$132),"")</f>
        <v/>
      </c>
    </row>
    <row r="17" spans="1:15" x14ac:dyDescent="0.25">
      <c r="A17" s="821" t="s">
        <v>1485</v>
      </c>
      <c r="B17" s="822">
        <f>SUM(B12:B16)</f>
        <v>1</v>
      </c>
      <c r="C17" s="822">
        <f>SUM(C12:C16)</f>
        <v>0.65</v>
      </c>
      <c r="D17" s="822">
        <f>SUM(D12:D16)</f>
        <v>0.65</v>
      </c>
      <c r="E17" s="1475">
        <f>SUM(E12:E16)</f>
        <v>0.99999999999999989</v>
      </c>
      <c r="F17" s="1475">
        <f>SUM(F12:F16)</f>
        <v>0.99999999999999989</v>
      </c>
      <c r="G17" s="1476">
        <f>+SUMPRODUCT(E12:E16,G12:G16)</f>
        <v>0.87548076923076923</v>
      </c>
      <c r="H17" s="1476">
        <f>+SUMPRODUCT(F12:F16,H12:H16)</f>
        <v>0.64919028340080964</v>
      </c>
      <c r="I17" s="812"/>
      <c r="J17" s="812"/>
    </row>
    <row r="18" spans="1:15" ht="14.45" customHeight="1" x14ac:dyDescent="0.25">
      <c r="A18" s="1568" t="s">
        <v>1628</v>
      </c>
      <c r="B18" s="1569" t="s">
        <v>982</v>
      </c>
      <c r="C18" s="1569"/>
      <c r="D18" s="1569"/>
      <c r="E18" s="1570" t="s">
        <v>1623</v>
      </c>
      <c r="F18" s="627" t="s">
        <v>983</v>
      </c>
      <c r="H18" s="823"/>
      <c r="I18" s="824"/>
      <c r="J18" s="2536" t="s">
        <v>1486</v>
      </c>
      <c r="K18" s="2536"/>
    </row>
    <row r="19" spans="1:15" ht="16.5" thickBot="1" x14ac:dyDescent="0.3">
      <c r="A19" s="1645" t="s">
        <v>497</v>
      </c>
      <c r="B19" s="1646" t="s">
        <v>982</v>
      </c>
      <c r="C19" s="1569"/>
      <c r="D19" s="1569"/>
      <c r="E19" s="1570" t="s">
        <v>512</v>
      </c>
      <c r="F19" s="627" t="s">
        <v>983</v>
      </c>
      <c r="H19" s="825"/>
      <c r="I19" s="824"/>
      <c r="J19" s="2536"/>
      <c r="K19" s="2536"/>
    </row>
    <row r="20" spans="1:15" ht="38.450000000000003" customHeight="1" thickTop="1" thickBot="1" x14ac:dyDescent="0.3">
      <c r="A20" s="1647" t="s">
        <v>1487</v>
      </c>
      <c r="B20" s="1648"/>
      <c r="C20" s="826"/>
      <c r="D20" s="826"/>
      <c r="E20" s="824"/>
      <c r="F20" s="824"/>
      <c r="G20" s="824"/>
      <c r="H20" s="825"/>
      <c r="I20" s="824"/>
      <c r="J20" s="2536"/>
      <c r="K20" s="2536"/>
    </row>
    <row r="21" spans="1:15" ht="16.5" thickTop="1" x14ac:dyDescent="0.25">
      <c r="G21" s="827"/>
      <c r="H21" s="812"/>
      <c r="I21" s="824"/>
      <c r="J21" s="2536"/>
      <c r="K21" s="2536"/>
    </row>
    <row r="22" spans="1:15" ht="15.75" thickBot="1" x14ac:dyDescent="0.3">
      <c r="A22" s="828"/>
      <c r="B22" s="812"/>
      <c r="C22" s="812"/>
      <c r="D22" s="812"/>
      <c r="E22" s="812"/>
      <c r="F22" s="812"/>
      <c r="G22" s="812"/>
      <c r="H22" s="812"/>
      <c r="I22" s="824"/>
      <c r="J22" s="2537"/>
      <c r="K22" s="2537"/>
    </row>
    <row r="23" spans="1:15" ht="21.75" thickBot="1" x14ac:dyDescent="0.3">
      <c r="A23" s="2532" t="s">
        <v>1737</v>
      </c>
      <c r="B23" s="2533"/>
      <c r="C23" s="2533"/>
      <c r="D23" s="2533"/>
      <c r="E23" s="2533"/>
      <c r="F23" s="2533"/>
      <c r="G23" s="2533"/>
      <c r="H23" s="2533"/>
      <c r="I23" s="2533"/>
      <c r="J23" s="2534"/>
      <c r="K23" s="2534"/>
      <c r="L23" s="2533"/>
      <c r="M23" s="2533"/>
      <c r="N23" s="2535"/>
    </row>
    <row r="24" spans="1:15" ht="15.75" thickBot="1" x14ac:dyDescent="0.3">
      <c r="A24" s="1487"/>
      <c r="B24" s="829"/>
      <c r="C24" s="829"/>
      <c r="D24" s="829"/>
      <c r="E24" s="829"/>
      <c r="F24" s="829"/>
      <c r="G24" s="829"/>
      <c r="H24" s="829"/>
      <c r="I24" s="829"/>
      <c r="J24" s="829"/>
      <c r="K24" s="812"/>
      <c r="L24" s="812"/>
      <c r="M24" s="812"/>
    </row>
    <row r="25" spans="1:15" ht="48.75" thickTop="1" thickBot="1" x14ac:dyDescent="0.3">
      <c r="A25" s="1506" t="s">
        <v>1738</v>
      </c>
      <c r="B25" s="1488" t="s">
        <v>1488</v>
      </c>
      <c r="C25" s="1488"/>
      <c r="D25" s="1488"/>
      <c r="E25" s="1507" t="s">
        <v>1489</v>
      </c>
      <c r="F25" s="1488" t="s">
        <v>1490</v>
      </c>
      <c r="G25" s="1488" t="s">
        <v>1491</v>
      </c>
      <c r="H25" s="1488" t="s">
        <v>1492</v>
      </c>
      <c r="I25" s="1488" t="s">
        <v>208</v>
      </c>
      <c r="J25" s="1488" t="s">
        <v>1493</v>
      </c>
      <c r="K25" s="1488" t="s">
        <v>1494</v>
      </c>
      <c r="L25" s="1488" t="s">
        <v>210</v>
      </c>
      <c r="M25" s="1488" t="s">
        <v>1495</v>
      </c>
      <c r="N25" s="1489" t="s">
        <v>1496</v>
      </c>
      <c r="O25" s="1486"/>
    </row>
    <row r="26" spans="1:15" ht="15.75" thickTop="1" x14ac:dyDescent="0.25">
      <c r="A26" s="2541" t="str">
        <f>IF(A12="","",A12)</f>
        <v>Financiera</v>
      </c>
      <c r="B26" s="1490"/>
      <c r="C26" s="1491"/>
      <c r="D26" s="1491"/>
      <c r="E26" s="1490"/>
      <c r="F26" s="1490"/>
      <c r="G26" s="1490"/>
      <c r="H26" s="1490"/>
      <c r="I26" s="1694" t="s">
        <v>1476</v>
      </c>
      <c r="J26" s="1493">
        <v>1</v>
      </c>
      <c r="K26" s="1494">
        <v>0.8</v>
      </c>
      <c r="L26" s="1697">
        <f>IFERROR(IF(K26/J26&gt;1,100%,K26/J26),"")</f>
        <v>0.8</v>
      </c>
      <c r="M26" s="1495"/>
      <c r="N26" s="1503"/>
      <c r="O26" s="1486"/>
    </row>
    <row r="27" spans="1:15" ht="18" x14ac:dyDescent="0.25">
      <c r="A27" s="2542"/>
      <c r="B27" s="1268"/>
      <c r="C27" s="1420"/>
      <c r="D27" s="1420"/>
      <c r="E27" s="1268"/>
      <c r="F27" s="1268"/>
      <c r="G27" s="1268"/>
      <c r="H27" s="1268"/>
      <c r="I27" s="1269" t="s">
        <v>1477</v>
      </c>
      <c r="J27" s="1270">
        <v>0.2</v>
      </c>
      <c r="K27" s="1271">
        <v>0.1</v>
      </c>
      <c r="L27" s="1698">
        <f>IFERROR(IF(K27/J27&gt;1,100%,K27/J27),"")</f>
        <v>0.5</v>
      </c>
      <c r="M27" s="830"/>
      <c r="N27" s="1504"/>
      <c r="O27" s="1486"/>
    </row>
    <row r="28" spans="1:15" ht="18" x14ac:dyDescent="0.25">
      <c r="A28" s="2542"/>
      <c r="B28" s="1268"/>
      <c r="C28" s="1420"/>
      <c r="D28" s="1420"/>
      <c r="E28" s="1268"/>
      <c r="F28" s="1268"/>
      <c r="G28" s="1268"/>
      <c r="H28" s="1268"/>
      <c r="I28" s="1269"/>
      <c r="J28" s="1270"/>
      <c r="K28" s="1271"/>
      <c r="L28" s="1698" t="str">
        <f t="shared" ref="L28:L115" si="1">IFERROR(IF(K28/J28&gt;1,100%,K28/J28),"")</f>
        <v/>
      </c>
      <c r="M28" s="830"/>
      <c r="N28" s="1504"/>
      <c r="O28" s="1486"/>
    </row>
    <row r="29" spans="1:15" ht="18" x14ac:dyDescent="0.25">
      <c r="A29" s="2542"/>
      <c r="B29" s="1268"/>
      <c r="C29" s="1420"/>
      <c r="D29" s="1420"/>
      <c r="E29" s="1268"/>
      <c r="F29" s="1268"/>
      <c r="G29" s="1268"/>
      <c r="H29" s="1268"/>
      <c r="I29" s="1269"/>
      <c r="J29" s="1270"/>
      <c r="K29" s="1271"/>
      <c r="L29" s="1698" t="str">
        <f t="shared" si="1"/>
        <v/>
      </c>
      <c r="M29" s="830"/>
      <c r="N29" s="1504"/>
      <c r="O29" s="1486"/>
    </row>
    <row r="30" spans="1:15" ht="18" x14ac:dyDescent="0.25">
      <c r="A30" s="2542"/>
      <c r="B30" s="1268"/>
      <c r="C30" s="1420"/>
      <c r="D30" s="1420"/>
      <c r="E30" s="1268"/>
      <c r="F30" s="1268"/>
      <c r="G30" s="1268"/>
      <c r="H30" s="1268"/>
      <c r="I30" s="1269"/>
      <c r="J30" s="1270"/>
      <c r="K30" s="1271"/>
      <c r="L30" s="1698" t="str">
        <f t="shared" si="1"/>
        <v/>
      </c>
      <c r="M30" s="830"/>
      <c r="N30" s="1504"/>
      <c r="O30" s="1486"/>
    </row>
    <row r="31" spans="1:15" ht="18" x14ac:dyDescent="0.25">
      <c r="A31" s="2542"/>
      <c r="B31" s="1268"/>
      <c r="C31" s="1420"/>
      <c r="D31" s="1420"/>
      <c r="E31" s="1268"/>
      <c r="F31" s="1268"/>
      <c r="G31" s="1268"/>
      <c r="H31" s="1268"/>
      <c r="I31" s="1269"/>
      <c r="J31" s="1270"/>
      <c r="K31" s="1271"/>
      <c r="L31" s="1698" t="str">
        <f t="shared" si="1"/>
        <v/>
      </c>
      <c r="M31" s="830"/>
      <c r="N31" s="1504"/>
      <c r="O31" s="1486"/>
    </row>
    <row r="32" spans="1:15" ht="18" x14ac:dyDescent="0.25">
      <c r="A32" s="2542"/>
      <c r="B32" s="1268"/>
      <c r="C32" s="1420"/>
      <c r="D32" s="1420"/>
      <c r="E32" s="1268"/>
      <c r="F32" s="1268"/>
      <c r="G32" s="1268"/>
      <c r="H32" s="1268"/>
      <c r="I32" s="1269"/>
      <c r="J32" s="1270"/>
      <c r="K32" s="1271"/>
      <c r="L32" s="1698" t="str">
        <f t="shared" si="1"/>
        <v/>
      </c>
      <c r="M32" s="830"/>
      <c r="N32" s="1504"/>
      <c r="O32" s="1486"/>
    </row>
    <row r="33" spans="1:15" ht="18" x14ac:dyDescent="0.25">
      <c r="A33" s="2542"/>
      <c r="B33" s="1268"/>
      <c r="C33" s="1420"/>
      <c r="D33" s="1420"/>
      <c r="E33" s="1268"/>
      <c r="F33" s="1268"/>
      <c r="G33" s="1268"/>
      <c r="H33" s="1268"/>
      <c r="I33" s="1269"/>
      <c r="J33" s="1270"/>
      <c r="K33" s="1271"/>
      <c r="L33" s="1698" t="str">
        <f t="shared" si="1"/>
        <v/>
      </c>
      <c r="M33" s="830"/>
      <c r="N33" s="1504"/>
      <c r="O33" s="1486"/>
    </row>
    <row r="34" spans="1:15" ht="18" x14ac:dyDescent="0.25">
      <c r="A34" s="2542"/>
      <c r="B34" s="1268"/>
      <c r="C34" s="1420"/>
      <c r="D34" s="1420"/>
      <c r="E34" s="1268"/>
      <c r="F34" s="1268"/>
      <c r="G34" s="1268"/>
      <c r="H34" s="1268"/>
      <c r="I34" s="1269"/>
      <c r="J34" s="1270"/>
      <c r="K34" s="1271"/>
      <c r="L34" s="1698" t="str">
        <f t="shared" si="1"/>
        <v/>
      </c>
      <c r="M34" s="830"/>
      <c r="N34" s="1504"/>
      <c r="O34" s="1486"/>
    </row>
    <row r="35" spans="1:15" ht="18" x14ac:dyDescent="0.25">
      <c r="A35" s="2542"/>
      <c r="B35" s="1268"/>
      <c r="C35" s="1420"/>
      <c r="D35" s="1420"/>
      <c r="E35" s="1268"/>
      <c r="F35" s="1268"/>
      <c r="G35" s="1268"/>
      <c r="H35" s="1268"/>
      <c r="I35" s="1269"/>
      <c r="J35" s="1270"/>
      <c r="K35" s="1271"/>
      <c r="L35" s="1698" t="str">
        <f t="shared" si="1"/>
        <v/>
      </c>
      <c r="M35" s="830"/>
      <c r="N35" s="1504"/>
      <c r="O35" s="1486"/>
    </row>
    <row r="36" spans="1:15" ht="18" x14ac:dyDescent="0.25">
      <c r="A36" s="2542"/>
      <c r="B36" s="1268"/>
      <c r="C36" s="1420"/>
      <c r="D36" s="1420"/>
      <c r="E36" s="1268"/>
      <c r="F36" s="1268"/>
      <c r="G36" s="1268"/>
      <c r="H36" s="1268"/>
      <c r="I36" s="1269"/>
      <c r="J36" s="1270"/>
      <c r="K36" s="1271"/>
      <c r="L36" s="1698" t="str">
        <f t="shared" si="1"/>
        <v/>
      </c>
      <c r="M36" s="830"/>
      <c r="N36" s="1504"/>
      <c r="O36" s="1486"/>
    </row>
    <row r="37" spans="1:15" ht="18" x14ac:dyDescent="0.25">
      <c r="A37" s="2542"/>
      <c r="B37" s="1268"/>
      <c r="C37" s="1420"/>
      <c r="D37" s="1420"/>
      <c r="E37" s="1268"/>
      <c r="F37" s="1268"/>
      <c r="G37" s="1268"/>
      <c r="H37" s="1268"/>
      <c r="I37" s="1269"/>
      <c r="J37" s="1270"/>
      <c r="K37" s="1271"/>
      <c r="L37" s="1698" t="str">
        <f t="shared" si="1"/>
        <v/>
      </c>
      <c r="M37" s="830"/>
      <c r="N37" s="1504"/>
      <c r="O37" s="1486"/>
    </row>
    <row r="38" spans="1:15" ht="18" x14ac:dyDescent="0.25">
      <c r="A38" s="2542"/>
      <c r="B38" s="1268"/>
      <c r="C38" s="1420"/>
      <c r="D38" s="1420"/>
      <c r="E38" s="1268"/>
      <c r="F38" s="1268"/>
      <c r="G38" s="1268"/>
      <c r="H38" s="1268"/>
      <c r="I38" s="1269"/>
      <c r="J38" s="1270"/>
      <c r="K38" s="1271"/>
      <c r="L38" s="1698" t="str">
        <f t="shared" si="1"/>
        <v/>
      </c>
      <c r="M38" s="830"/>
      <c r="N38" s="1504"/>
      <c r="O38" s="1486"/>
    </row>
    <row r="39" spans="1:15" ht="18" x14ac:dyDescent="0.25">
      <c r="A39" s="2542"/>
      <c r="B39" s="1268"/>
      <c r="C39" s="1420"/>
      <c r="D39" s="1420"/>
      <c r="E39" s="1268"/>
      <c r="F39" s="1268"/>
      <c r="G39" s="1268"/>
      <c r="H39" s="1268"/>
      <c r="I39" s="1269"/>
      <c r="J39" s="1270"/>
      <c r="K39" s="1271"/>
      <c r="L39" s="1698" t="str">
        <f t="shared" si="1"/>
        <v/>
      </c>
      <c r="M39" s="830"/>
      <c r="N39" s="1504"/>
      <c r="O39" s="1486"/>
    </row>
    <row r="40" spans="1:15" ht="18" x14ac:dyDescent="0.25">
      <c r="A40" s="2542"/>
      <c r="B40" s="1268"/>
      <c r="C40" s="1420"/>
      <c r="D40" s="1420"/>
      <c r="E40" s="1268"/>
      <c r="F40" s="1268"/>
      <c r="G40" s="1268"/>
      <c r="H40" s="1268"/>
      <c r="I40" s="1269"/>
      <c r="J40" s="1270"/>
      <c r="K40" s="1271"/>
      <c r="L40" s="1698" t="str">
        <f t="shared" si="1"/>
        <v/>
      </c>
      <c r="M40" s="830"/>
      <c r="N40" s="1504"/>
      <c r="O40" s="1486"/>
    </row>
    <row r="41" spans="1:15" ht="18" x14ac:dyDescent="0.25">
      <c r="A41" s="2542"/>
      <c r="B41" s="1268"/>
      <c r="C41" s="1420"/>
      <c r="D41" s="1420"/>
      <c r="E41" s="1268"/>
      <c r="F41" s="1268"/>
      <c r="G41" s="1268"/>
      <c r="H41" s="1268"/>
      <c r="I41" s="1269"/>
      <c r="J41" s="1270"/>
      <c r="K41" s="1271"/>
      <c r="L41" s="1698" t="str">
        <f t="shared" si="1"/>
        <v/>
      </c>
      <c r="M41" s="830"/>
      <c r="N41" s="1504"/>
      <c r="O41" s="1486"/>
    </row>
    <row r="42" spans="1:15" ht="18" x14ac:dyDescent="0.25">
      <c r="A42" s="2542"/>
      <c r="B42" s="1268"/>
      <c r="C42" s="1420"/>
      <c r="D42" s="1420"/>
      <c r="E42" s="1268"/>
      <c r="F42" s="1268"/>
      <c r="G42" s="1268"/>
      <c r="H42" s="1268"/>
      <c r="I42" s="1269"/>
      <c r="J42" s="1270"/>
      <c r="K42" s="1271"/>
      <c r="L42" s="1698" t="str">
        <f t="shared" si="1"/>
        <v/>
      </c>
      <c r="M42" s="830"/>
      <c r="N42" s="1504"/>
      <c r="O42" s="1486"/>
    </row>
    <row r="43" spans="1:15" ht="18" x14ac:dyDescent="0.25">
      <c r="A43" s="2542"/>
      <c r="B43" s="1268"/>
      <c r="C43" s="1420"/>
      <c r="D43" s="1420"/>
      <c r="E43" s="1268"/>
      <c r="F43" s="1268"/>
      <c r="G43" s="1268"/>
      <c r="H43" s="1268"/>
      <c r="I43" s="1269"/>
      <c r="J43" s="1270"/>
      <c r="K43" s="1271"/>
      <c r="L43" s="1698" t="str">
        <f t="shared" si="1"/>
        <v/>
      </c>
      <c r="M43" s="830"/>
      <c r="N43" s="1504"/>
      <c r="O43" s="1486"/>
    </row>
    <row r="44" spans="1:15" ht="18" x14ac:dyDescent="0.25">
      <c r="A44" s="2542"/>
      <c r="B44" s="1268"/>
      <c r="C44" s="1420"/>
      <c r="D44" s="1420"/>
      <c r="E44" s="1268"/>
      <c r="F44" s="1268"/>
      <c r="G44" s="1268"/>
      <c r="H44" s="1268"/>
      <c r="I44" s="1269"/>
      <c r="J44" s="1270"/>
      <c r="K44" s="1271"/>
      <c r="L44" s="1698" t="str">
        <f t="shared" si="1"/>
        <v/>
      </c>
      <c r="M44" s="830"/>
      <c r="N44" s="1504"/>
      <c r="O44" s="1486"/>
    </row>
    <row r="45" spans="1:15" ht="18" x14ac:dyDescent="0.25">
      <c r="A45" s="2542"/>
      <c r="B45" s="1268"/>
      <c r="C45" s="1420"/>
      <c r="D45" s="1420"/>
      <c r="E45" s="1268"/>
      <c r="F45" s="1268"/>
      <c r="G45" s="1268"/>
      <c r="H45" s="1268"/>
      <c r="I45" s="1269"/>
      <c r="J45" s="1270"/>
      <c r="K45" s="1271"/>
      <c r="L45" s="1698" t="str">
        <f t="shared" si="1"/>
        <v/>
      </c>
      <c r="M45" s="830"/>
      <c r="N45" s="1504"/>
      <c r="O45" s="1486"/>
    </row>
    <row r="46" spans="1:15" ht="18" x14ac:dyDescent="0.25">
      <c r="A46" s="2542"/>
      <c r="B46" s="1268"/>
      <c r="C46" s="1420"/>
      <c r="D46" s="1420"/>
      <c r="E46" s="1268"/>
      <c r="F46" s="1268"/>
      <c r="G46" s="1268"/>
      <c r="H46" s="1268"/>
      <c r="I46" s="1269"/>
      <c r="J46" s="1270"/>
      <c r="K46" s="1271"/>
      <c r="L46" s="1698" t="str">
        <f t="shared" si="1"/>
        <v/>
      </c>
      <c r="M46" s="830"/>
      <c r="N46" s="1504"/>
      <c r="O46" s="1486"/>
    </row>
    <row r="47" spans="1:15" ht="18" x14ac:dyDescent="0.25">
      <c r="A47" s="2542"/>
      <c r="B47" s="1268"/>
      <c r="C47" s="1420"/>
      <c r="D47" s="1420"/>
      <c r="E47" s="1268"/>
      <c r="F47" s="1268"/>
      <c r="G47" s="1268"/>
      <c r="H47" s="1268"/>
      <c r="I47" s="1269"/>
      <c r="J47" s="1270"/>
      <c r="K47" s="1271"/>
      <c r="L47" s="1698" t="str">
        <f t="shared" si="1"/>
        <v/>
      </c>
      <c r="M47" s="830"/>
      <c r="N47" s="1504"/>
      <c r="O47" s="1486"/>
    </row>
    <row r="48" spans="1:15" ht="18.75" thickBot="1" x14ac:dyDescent="0.3">
      <c r="A48" s="2543"/>
      <c r="B48" s="1496"/>
      <c r="C48" s="1497"/>
      <c r="D48" s="1497"/>
      <c r="E48" s="1496"/>
      <c r="F48" s="1496"/>
      <c r="G48" s="1496"/>
      <c r="H48" s="1496"/>
      <c r="I48" s="1695"/>
      <c r="J48" s="1499"/>
      <c r="K48" s="1500"/>
      <c r="L48" s="1698" t="str">
        <f t="shared" si="1"/>
        <v/>
      </c>
      <c r="M48" s="1501"/>
      <c r="N48" s="1505"/>
      <c r="O48" s="1486"/>
    </row>
    <row r="49" spans="1:15" ht="18.75" thickTop="1" x14ac:dyDescent="0.25">
      <c r="A49" s="2541" t="str">
        <f>IF(A13="","",A13)</f>
        <v>Clientes/ Mercados y Negocios</v>
      </c>
      <c r="B49" s="1490"/>
      <c r="C49" s="1502"/>
      <c r="D49" s="1502"/>
      <c r="E49" s="1490"/>
      <c r="F49" s="1490"/>
      <c r="G49" s="1490"/>
      <c r="H49" s="1490"/>
      <c r="I49" s="1492"/>
      <c r="J49" s="1493"/>
      <c r="K49" s="1494"/>
      <c r="L49" s="1697" t="str">
        <f>IFERROR(IF(K49/J49&gt;1,100%,K49/J49),"")</f>
        <v/>
      </c>
      <c r="M49" s="1495"/>
      <c r="N49" s="1503"/>
      <c r="O49" s="1486"/>
    </row>
    <row r="50" spans="1:15" ht="18" x14ac:dyDescent="0.25">
      <c r="A50" s="2542"/>
      <c r="B50" s="1268"/>
      <c r="C50" s="1420"/>
      <c r="D50" s="1420"/>
      <c r="E50" s="1268"/>
      <c r="F50" s="1268"/>
      <c r="G50" s="1268"/>
      <c r="H50" s="1268"/>
      <c r="I50" s="1269"/>
      <c r="J50" s="1270"/>
      <c r="K50" s="1271"/>
      <c r="L50" s="1698" t="str">
        <f>IFERROR(IF(K50/J50&gt;1,100%,K50/J50),"")</f>
        <v/>
      </c>
      <c r="M50" s="830"/>
      <c r="N50" s="1504"/>
      <c r="O50" s="1486"/>
    </row>
    <row r="51" spans="1:15" ht="18" x14ac:dyDescent="0.25">
      <c r="A51" s="2542"/>
      <c r="B51" s="1268"/>
      <c r="C51" s="1420"/>
      <c r="D51" s="1420"/>
      <c r="E51" s="1268"/>
      <c r="F51" s="1268"/>
      <c r="G51" s="1268"/>
      <c r="H51" s="1268"/>
      <c r="I51" s="1269"/>
      <c r="J51" s="1270"/>
      <c r="K51" s="1271"/>
      <c r="L51" s="1698" t="str">
        <f t="shared" ref="L51:L76" si="2">IFERROR(IF(K51/J51&gt;1,100%,K51/J51),"")</f>
        <v/>
      </c>
      <c r="M51" s="830"/>
      <c r="N51" s="1504"/>
      <c r="O51" s="1486"/>
    </row>
    <row r="52" spans="1:15" ht="18" x14ac:dyDescent="0.25">
      <c r="A52" s="2542"/>
      <c r="B52" s="1268"/>
      <c r="C52" s="1420"/>
      <c r="D52" s="1420"/>
      <c r="E52" s="1268"/>
      <c r="F52" s="1268"/>
      <c r="G52" s="1268"/>
      <c r="H52" s="1268"/>
      <c r="I52" s="1269"/>
      <c r="J52" s="1270"/>
      <c r="K52" s="1271"/>
      <c r="L52" s="1698" t="str">
        <f t="shared" si="2"/>
        <v/>
      </c>
      <c r="M52" s="830"/>
      <c r="N52" s="1504"/>
      <c r="O52" s="1486"/>
    </row>
    <row r="53" spans="1:15" ht="18" x14ac:dyDescent="0.25">
      <c r="A53" s="2542"/>
      <c r="B53" s="1268"/>
      <c r="C53" s="1420"/>
      <c r="D53" s="1420"/>
      <c r="E53" s="1268"/>
      <c r="F53" s="1268"/>
      <c r="G53" s="1268"/>
      <c r="H53" s="1268"/>
      <c r="I53" s="1269"/>
      <c r="J53" s="1270"/>
      <c r="K53" s="1271"/>
      <c r="L53" s="1698" t="str">
        <f t="shared" si="2"/>
        <v/>
      </c>
      <c r="M53" s="830"/>
      <c r="N53" s="1504"/>
      <c r="O53" s="1486"/>
    </row>
    <row r="54" spans="1:15" ht="18" x14ac:dyDescent="0.25">
      <c r="A54" s="2542"/>
      <c r="B54" s="1268"/>
      <c r="C54" s="1420"/>
      <c r="D54" s="1420"/>
      <c r="E54" s="1268"/>
      <c r="F54" s="1268"/>
      <c r="G54" s="1268"/>
      <c r="H54" s="1268"/>
      <c r="I54" s="1269"/>
      <c r="J54" s="1270"/>
      <c r="K54" s="1271"/>
      <c r="L54" s="1698" t="str">
        <f t="shared" si="2"/>
        <v/>
      </c>
      <c r="M54" s="830"/>
      <c r="N54" s="1504"/>
      <c r="O54" s="1486"/>
    </row>
    <row r="55" spans="1:15" ht="18" x14ac:dyDescent="0.25">
      <c r="A55" s="2542"/>
      <c r="B55" s="1268"/>
      <c r="C55" s="1420"/>
      <c r="D55" s="1420"/>
      <c r="E55" s="1268"/>
      <c r="F55" s="1268"/>
      <c r="G55" s="1268"/>
      <c r="H55" s="1268"/>
      <c r="I55" s="1269"/>
      <c r="J55" s="1270"/>
      <c r="K55" s="1271"/>
      <c r="L55" s="1698" t="str">
        <f t="shared" si="2"/>
        <v/>
      </c>
      <c r="M55" s="830"/>
      <c r="N55" s="1504"/>
      <c r="O55" s="1486"/>
    </row>
    <row r="56" spans="1:15" ht="18" x14ac:dyDescent="0.25">
      <c r="A56" s="2542"/>
      <c r="B56" s="1268"/>
      <c r="C56" s="1420"/>
      <c r="D56" s="1420"/>
      <c r="E56" s="1268"/>
      <c r="F56" s="1268"/>
      <c r="G56" s="1268"/>
      <c r="H56" s="1268"/>
      <c r="I56" s="1269"/>
      <c r="J56" s="1270"/>
      <c r="K56" s="1271"/>
      <c r="L56" s="1698" t="str">
        <f t="shared" si="2"/>
        <v/>
      </c>
      <c r="M56" s="830"/>
      <c r="N56" s="1504"/>
      <c r="O56" s="1486"/>
    </row>
    <row r="57" spans="1:15" ht="18" x14ac:dyDescent="0.25">
      <c r="A57" s="2542"/>
      <c r="B57" s="1268"/>
      <c r="C57" s="1420"/>
      <c r="D57" s="1420"/>
      <c r="E57" s="1268"/>
      <c r="F57" s="1268"/>
      <c r="G57" s="1268"/>
      <c r="H57" s="1268"/>
      <c r="I57" s="1269"/>
      <c r="J57" s="1270"/>
      <c r="K57" s="1271"/>
      <c r="L57" s="1698" t="str">
        <f t="shared" si="2"/>
        <v/>
      </c>
      <c r="M57" s="830"/>
      <c r="N57" s="1504"/>
      <c r="O57" s="1486"/>
    </row>
    <row r="58" spans="1:15" ht="18" x14ac:dyDescent="0.25">
      <c r="A58" s="2542"/>
      <c r="B58" s="1268"/>
      <c r="C58" s="1420"/>
      <c r="D58" s="1420"/>
      <c r="E58" s="1268"/>
      <c r="F58" s="1268"/>
      <c r="G58" s="1268"/>
      <c r="H58" s="1268"/>
      <c r="I58" s="1269"/>
      <c r="J58" s="1270"/>
      <c r="K58" s="1271"/>
      <c r="L58" s="1698" t="str">
        <f t="shared" si="2"/>
        <v/>
      </c>
      <c r="M58" s="830"/>
      <c r="N58" s="1504"/>
      <c r="O58" s="1486"/>
    </row>
    <row r="59" spans="1:15" ht="18" x14ac:dyDescent="0.25">
      <c r="A59" s="2542"/>
      <c r="B59" s="1268"/>
      <c r="C59" s="1420"/>
      <c r="D59" s="1420"/>
      <c r="E59" s="1268"/>
      <c r="F59" s="1268"/>
      <c r="G59" s="1268"/>
      <c r="H59" s="1268"/>
      <c r="I59" s="1269"/>
      <c r="J59" s="1270"/>
      <c r="K59" s="1271"/>
      <c r="L59" s="1698" t="str">
        <f t="shared" si="2"/>
        <v/>
      </c>
      <c r="M59" s="830"/>
      <c r="N59" s="1504"/>
      <c r="O59" s="1486"/>
    </row>
    <row r="60" spans="1:15" ht="18" x14ac:dyDescent="0.25">
      <c r="A60" s="2542"/>
      <c r="B60" s="1268"/>
      <c r="C60" s="1420"/>
      <c r="D60" s="1420"/>
      <c r="E60" s="1268"/>
      <c r="F60" s="1268"/>
      <c r="G60" s="1268"/>
      <c r="H60" s="1268"/>
      <c r="I60" s="1269"/>
      <c r="J60" s="1270"/>
      <c r="K60" s="1271"/>
      <c r="L60" s="1698" t="str">
        <f t="shared" si="2"/>
        <v/>
      </c>
      <c r="M60" s="830"/>
      <c r="N60" s="1504"/>
      <c r="O60" s="1486"/>
    </row>
    <row r="61" spans="1:15" ht="18" x14ac:dyDescent="0.25">
      <c r="A61" s="2542"/>
      <c r="B61" s="1268"/>
      <c r="C61" s="1420"/>
      <c r="D61" s="1420"/>
      <c r="E61" s="1268"/>
      <c r="F61" s="1268"/>
      <c r="G61" s="1268"/>
      <c r="H61" s="1268"/>
      <c r="I61" s="1269"/>
      <c r="J61" s="1270"/>
      <c r="K61" s="1271"/>
      <c r="L61" s="1698" t="str">
        <f t="shared" si="2"/>
        <v/>
      </c>
      <c r="M61" s="830"/>
      <c r="N61" s="1504"/>
      <c r="O61" s="1486"/>
    </row>
    <row r="62" spans="1:15" ht="18" x14ac:dyDescent="0.25">
      <c r="A62" s="2542"/>
      <c r="B62" s="1268"/>
      <c r="C62" s="1420"/>
      <c r="D62" s="1420"/>
      <c r="E62" s="1268"/>
      <c r="F62" s="1268"/>
      <c r="G62" s="1268"/>
      <c r="H62" s="1268"/>
      <c r="I62" s="1269"/>
      <c r="J62" s="1270"/>
      <c r="K62" s="1271"/>
      <c r="L62" s="1698" t="str">
        <f t="shared" si="2"/>
        <v/>
      </c>
      <c r="M62" s="830"/>
      <c r="N62" s="1504"/>
      <c r="O62" s="1486"/>
    </row>
    <row r="63" spans="1:15" ht="18" x14ac:dyDescent="0.25">
      <c r="A63" s="2542"/>
      <c r="B63" s="1268"/>
      <c r="C63" s="1420"/>
      <c r="D63" s="1420"/>
      <c r="E63" s="1268"/>
      <c r="F63" s="1268"/>
      <c r="G63" s="1268"/>
      <c r="H63" s="1268"/>
      <c r="I63" s="1269"/>
      <c r="J63" s="1270"/>
      <c r="K63" s="1271"/>
      <c r="L63" s="1698" t="str">
        <f t="shared" si="2"/>
        <v/>
      </c>
      <c r="M63" s="830"/>
      <c r="N63" s="1504"/>
      <c r="O63" s="1486"/>
    </row>
    <row r="64" spans="1:15" ht="18" x14ac:dyDescent="0.25">
      <c r="A64" s="2542"/>
      <c r="B64" s="1268"/>
      <c r="C64" s="1420"/>
      <c r="D64" s="1420"/>
      <c r="E64" s="1268"/>
      <c r="F64" s="1268"/>
      <c r="G64" s="1268"/>
      <c r="H64" s="1268"/>
      <c r="I64" s="1269"/>
      <c r="J64" s="1270"/>
      <c r="K64" s="1271"/>
      <c r="L64" s="1698" t="str">
        <f t="shared" si="2"/>
        <v/>
      </c>
      <c r="M64" s="830"/>
      <c r="N64" s="1504"/>
      <c r="O64" s="1486"/>
    </row>
    <row r="65" spans="1:15" ht="18" x14ac:dyDescent="0.25">
      <c r="A65" s="2542"/>
      <c r="B65" s="1268"/>
      <c r="C65" s="1420"/>
      <c r="D65" s="1420"/>
      <c r="E65" s="1268"/>
      <c r="F65" s="1268"/>
      <c r="G65" s="1268"/>
      <c r="H65" s="1268"/>
      <c r="I65" s="1269"/>
      <c r="J65" s="1270"/>
      <c r="K65" s="1271"/>
      <c r="L65" s="1698" t="str">
        <f t="shared" si="2"/>
        <v/>
      </c>
      <c r="M65" s="830"/>
      <c r="N65" s="1504"/>
      <c r="O65" s="1486"/>
    </row>
    <row r="66" spans="1:15" ht="18" x14ac:dyDescent="0.25">
      <c r="A66" s="2542"/>
      <c r="B66" s="1268"/>
      <c r="C66" s="1420"/>
      <c r="D66" s="1420"/>
      <c r="E66" s="1268"/>
      <c r="F66" s="1268"/>
      <c r="G66" s="1268"/>
      <c r="H66" s="1268"/>
      <c r="I66" s="1269"/>
      <c r="J66" s="1270"/>
      <c r="K66" s="1271"/>
      <c r="L66" s="1698" t="str">
        <f t="shared" si="2"/>
        <v/>
      </c>
      <c r="M66" s="830"/>
      <c r="N66" s="1504"/>
      <c r="O66" s="1486"/>
    </row>
    <row r="67" spans="1:15" ht="18" x14ac:dyDescent="0.25">
      <c r="A67" s="2542"/>
      <c r="B67" s="1268"/>
      <c r="C67" s="1420"/>
      <c r="D67" s="1420"/>
      <c r="E67" s="1268"/>
      <c r="F67" s="1268"/>
      <c r="G67" s="1268"/>
      <c r="H67" s="1268"/>
      <c r="I67" s="1269"/>
      <c r="J67" s="1270"/>
      <c r="K67" s="1271"/>
      <c r="L67" s="1698" t="str">
        <f t="shared" si="2"/>
        <v/>
      </c>
      <c r="M67" s="830"/>
      <c r="N67" s="1504"/>
      <c r="O67" s="1486"/>
    </row>
    <row r="68" spans="1:15" ht="18" x14ac:dyDescent="0.25">
      <c r="A68" s="2542"/>
      <c r="B68" s="1268"/>
      <c r="C68" s="1420"/>
      <c r="D68" s="1420"/>
      <c r="E68" s="1268"/>
      <c r="F68" s="1268"/>
      <c r="G68" s="1268"/>
      <c r="H68" s="1268"/>
      <c r="I68" s="1269"/>
      <c r="J68" s="1270"/>
      <c r="K68" s="1271"/>
      <c r="L68" s="1698" t="str">
        <f t="shared" si="2"/>
        <v/>
      </c>
      <c r="M68" s="830"/>
      <c r="N68" s="1504"/>
      <c r="O68" s="1486"/>
    </row>
    <row r="69" spans="1:15" ht="18" x14ac:dyDescent="0.25">
      <c r="A69" s="2542"/>
      <c r="B69" s="1268"/>
      <c r="C69" s="1420"/>
      <c r="D69" s="1420"/>
      <c r="E69" s="1268"/>
      <c r="F69" s="1268"/>
      <c r="G69" s="1268"/>
      <c r="H69" s="1268"/>
      <c r="I69" s="1269"/>
      <c r="J69" s="1270"/>
      <c r="K69" s="1271"/>
      <c r="L69" s="1698" t="str">
        <f t="shared" si="2"/>
        <v/>
      </c>
      <c r="M69" s="830"/>
      <c r="N69" s="1504"/>
      <c r="O69" s="1486"/>
    </row>
    <row r="70" spans="1:15" ht="18" x14ac:dyDescent="0.25">
      <c r="A70" s="2542"/>
      <c r="B70" s="1268"/>
      <c r="C70" s="1420"/>
      <c r="D70" s="1420"/>
      <c r="E70" s="1268"/>
      <c r="F70" s="1268"/>
      <c r="G70" s="1268"/>
      <c r="H70" s="1268"/>
      <c r="I70" s="1269"/>
      <c r="J70" s="1270"/>
      <c r="K70" s="1271"/>
      <c r="L70" s="1698" t="str">
        <f t="shared" si="2"/>
        <v/>
      </c>
      <c r="M70" s="830"/>
      <c r="N70" s="1504"/>
      <c r="O70" s="1486"/>
    </row>
    <row r="71" spans="1:15" ht="18" x14ac:dyDescent="0.25">
      <c r="A71" s="2542"/>
      <c r="B71" s="1268"/>
      <c r="C71" s="1420"/>
      <c r="D71" s="1420"/>
      <c r="E71" s="1268"/>
      <c r="F71" s="1268"/>
      <c r="G71" s="1268"/>
      <c r="H71" s="1268"/>
      <c r="I71" s="1269"/>
      <c r="J71" s="1270"/>
      <c r="K71" s="1271"/>
      <c r="L71" s="1698" t="str">
        <f t="shared" si="2"/>
        <v/>
      </c>
      <c r="M71" s="830"/>
      <c r="N71" s="1504"/>
      <c r="O71" s="1486"/>
    </row>
    <row r="72" spans="1:15" ht="18" x14ac:dyDescent="0.25">
      <c r="A72" s="2542"/>
      <c r="B72" s="1268"/>
      <c r="C72" s="1420"/>
      <c r="D72" s="1420"/>
      <c r="E72" s="1268"/>
      <c r="F72" s="1268"/>
      <c r="G72" s="1268"/>
      <c r="H72" s="1268"/>
      <c r="I72" s="1269"/>
      <c r="J72" s="1270"/>
      <c r="K72" s="1271"/>
      <c r="L72" s="1698" t="str">
        <f t="shared" si="2"/>
        <v/>
      </c>
      <c r="M72" s="830"/>
      <c r="N72" s="1504"/>
      <c r="O72" s="1486"/>
    </row>
    <row r="73" spans="1:15" ht="18" x14ac:dyDescent="0.25">
      <c r="A73" s="2542"/>
      <c r="B73" s="1268"/>
      <c r="C73" s="1420"/>
      <c r="D73" s="1420"/>
      <c r="E73" s="1268"/>
      <c r="F73" s="1268"/>
      <c r="G73" s="1268"/>
      <c r="H73" s="1268"/>
      <c r="I73" s="1269"/>
      <c r="J73" s="1270"/>
      <c r="K73" s="1271"/>
      <c r="L73" s="1698" t="str">
        <f t="shared" si="2"/>
        <v/>
      </c>
      <c r="M73" s="830"/>
      <c r="N73" s="1504"/>
      <c r="O73" s="1486"/>
    </row>
    <row r="74" spans="1:15" ht="18" x14ac:dyDescent="0.25">
      <c r="A74" s="2542"/>
      <c r="B74" s="1268"/>
      <c r="C74" s="1420"/>
      <c r="D74" s="1420"/>
      <c r="E74" s="1268"/>
      <c r="F74" s="1268"/>
      <c r="G74" s="1268"/>
      <c r="H74" s="1268"/>
      <c r="I74" s="1269"/>
      <c r="J74" s="1270"/>
      <c r="K74" s="1271"/>
      <c r="L74" s="1698" t="str">
        <f t="shared" si="2"/>
        <v/>
      </c>
      <c r="M74" s="830"/>
      <c r="N74" s="1504"/>
      <c r="O74" s="1486"/>
    </row>
    <row r="75" spans="1:15" ht="18" x14ac:dyDescent="0.25">
      <c r="A75" s="2542"/>
      <c r="B75" s="1268"/>
      <c r="C75" s="1420"/>
      <c r="D75" s="1420"/>
      <c r="E75" s="1268"/>
      <c r="F75" s="1268"/>
      <c r="G75" s="1268"/>
      <c r="H75" s="1268"/>
      <c r="I75" s="1269"/>
      <c r="J75" s="1270"/>
      <c r="K75" s="1271"/>
      <c r="L75" s="1698" t="str">
        <f t="shared" si="2"/>
        <v/>
      </c>
      <c r="M75" s="830"/>
      <c r="N75" s="1504"/>
      <c r="O75" s="1486"/>
    </row>
    <row r="76" spans="1:15" ht="18.75" thickBot="1" x14ac:dyDescent="0.3">
      <c r="A76" s="2543"/>
      <c r="B76" s="1496"/>
      <c r="C76" s="1497"/>
      <c r="D76" s="1497"/>
      <c r="E76" s="1496"/>
      <c r="F76" s="1496"/>
      <c r="G76" s="1496"/>
      <c r="H76" s="1496"/>
      <c r="I76" s="1498"/>
      <c r="J76" s="1499"/>
      <c r="K76" s="1500"/>
      <c r="L76" s="1698" t="str">
        <f t="shared" si="2"/>
        <v/>
      </c>
      <c r="M76" s="1501"/>
      <c r="N76" s="1505"/>
      <c r="O76" s="1486"/>
    </row>
    <row r="77" spans="1:15" ht="18.75" thickTop="1" x14ac:dyDescent="0.25">
      <c r="A77" s="2541" t="str">
        <f>IF(A14="","",A14)</f>
        <v>Procesos Internos</v>
      </c>
      <c r="B77" s="1490"/>
      <c r="C77" s="1502"/>
      <c r="D77" s="1502"/>
      <c r="E77" s="1490"/>
      <c r="F77" s="1490"/>
      <c r="G77" s="1490"/>
      <c r="H77" s="1490"/>
      <c r="I77" s="1696" t="s">
        <v>1476</v>
      </c>
      <c r="J77" s="1493">
        <v>0.4</v>
      </c>
      <c r="K77" s="1494">
        <v>0.5</v>
      </c>
      <c r="L77" s="1697">
        <f t="shared" si="1"/>
        <v>1</v>
      </c>
      <c r="M77" s="1495"/>
      <c r="N77" s="1503"/>
      <c r="O77" s="1486"/>
    </row>
    <row r="78" spans="1:15" ht="18" x14ac:dyDescent="0.25">
      <c r="A78" s="2542"/>
      <c r="B78" s="1268"/>
      <c r="C78" s="1420"/>
      <c r="D78" s="1420"/>
      <c r="E78" s="1268"/>
      <c r="F78" s="1268"/>
      <c r="G78" s="1268"/>
      <c r="H78" s="1268"/>
      <c r="I78" s="1269" t="s">
        <v>1477</v>
      </c>
      <c r="J78" s="1270">
        <v>0.4</v>
      </c>
      <c r="K78" s="1271">
        <v>0.3</v>
      </c>
      <c r="L78" s="1698">
        <f t="shared" si="1"/>
        <v>0.74999999999999989</v>
      </c>
      <c r="M78" s="830"/>
      <c r="N78" s="1504"/>
      <c r="O78" s="1486"/>
    </row>
    <row r="79" spans="1:15" ht="18" x14ac:dyDescent="0.25">
      <c r="A79" s="2542"/>
      <c r="B79" s="1268"/>
      <c r="C79" s="1420"/>
      <c r="D79" s="1420"/>
      <c r="E79" s="1268"/>
      <c r="F79" s="1268"/>
      <c r="G79" s="1268"/>
      <c r="H79" s="1268"/>
      <c r="I79" s="1269"/>
      <c r="J79" s="1270"/>
      <c r="K79" s="1271"/>
      <c r="L79" s="1698" t="str">
        <f t="shared" si="1"/>
        <v/>
      </c>
      <c r="M79" s="830"/>
      <c r="N79" s="1504"/>
      <c r="O79" s="1486"/>
    </row>
    <row r="80" spans="1:15" ht="18" x14ac:dyDescent="0.25">
      <c r="A80" s="2542"/>
      <c r="B80" s="1268"/>
      <c r="C80" s="1420"/>
      <c r="D80" s="1420"/>
      <c r="E80" s="1268"/>
      <c r="F80" s="1268"/>
      <c r="G80" s="1268"/>
      <c r="H80" s="1268"/>
      <c r="I80" s="1269"/>
      <c r="J80" s="1270"/>
      <c r="K80" s="1271"/>
      <c r="L80" s="1698" t="str">
        <f t="shared" si="1"/>
        <v/>
      </c>
      <c r="M80" s="830"/>
      <c r="N80" s="1504"/>
      <c r="O80" s="1486"/>
    </row>
    <row r="81" spans="1:15" ht="18" x14ac:dyDescent="0.25">
      <c r="A81" s="2542"/>
      <c r="B81" s="1268"/>
      <c r="C81" s="1420"/>
      <c r="D81" s="1420"/>
      <c r="E81" s="1268"/>
      <c r="F81" s="1268"/>
      <c r="G81" s="1268"/>
      <c r="H81" s="1268"/>
      <c r="I81" s="1269"/>
      <c r="J81" s="1270"/>
      <c r="K81" s="1271"/>
      <c r="L81" s="1698" t="str">
        <f t="shared" si="1"/>
        <v/>
      </c>
      <c r="M81" s="830"/>
      <c r="N81" s="1504"/>
      <c r="O81" s="1486"/>
    </row>
    <row r="82" spans="1:15" ht="18" x14ac:dyDescent="0.25">
      <c r="A82" s="2542"/>
      <c r="B82" s="1268"/>
      <c r="C82" s="1420"/>
      <c r="D82" s="1420"/>
      <c r="E82" s="1268"/>
      <c r="F82" s="1268"/>
      <c r="G82" s="1268"/>
      <c r="H82" s="1268"/>
      <c r="I82" s="1269"/>
      <c r="J82" s="1270"/>
      <c r="K82" s="1271"/>
      <c r="L82" s="1698" t="str">
        <f t="shared" si="1"/>
        <v/>
      </c>
      <c r="M82" s="830"/>
      <c r="N82" s="1504"/>
      <c r="O82" s="1486"/>
    </row>
    <row r="83" spans="1:15" ht="18" x14ac:dyDescent="0.25">
      <c r="A83" s="2542"/>
      <c r="B83" s="1268"/>
      <c r="C83" s="1420"/>
      <c r="D83" s="1420"/>
      <c r="E83" s="1268"/>
      <c r="F83" s="1268"/>
      <c r="G83" s="1268"/>
      <c r="H83" s="1268"/>
      <c r="I83" s="1269"/>
      <c r="J83" s="1270"/>
      <c r="K83" s="1271"/>
      <c r="L83" s="1698" t="str">
        <f t="shared" si="1"/>
        <v/>
      </c>
      <c r="M83" s="830"/>
      <c r="N83" s="1504"/>
      <c r="O83" s="1486"/>
    </row>
    <row r="84" spans="1:15" ht="18" x14ac:dyDescent="0.25">
      <c r="A84" s="2542"/>
      <c r="B84" s="1268"/>
      <c r="C84" s="1420"/>
      <c r="D84" s="1420"/>
      <c r="E84" s="1268"/>
      <c r="F84" s="1268"/>
      <c r="G84" s="1268"/>
      <c r="H84" s="1268"/>
      <c r="I84" s="1269"/>
      <c r="J84" s="1270"/>
      <c r="K84" s="1271"/>
      <c r="L84" s="1698" t="str">
        <f t="shared" si="1"/>
        <v/>
      </c>
      <c r="M84" s="830"/>
      <c r="N84" s="1504"/>
      <c r="O84" s="1486"/>
    </row>
    <row r="85" spans="1:15" ht="18" x14ac:dyDescent="0.25">
      <c r="A85" s="2542"/>
      <c r="B85" s="1268"/>
      <c r="C85" s="1420"/>
      <c r="D85" s="1420"/>
      <c r="E85" s="1268"/>
      <c r="F85" s="1268"/>
      <c r="G85" s="1268"/>
      <c r="H85" s="1268"/>
      <c r="I85" s="1269"/>
      <c r="J85" s="1270"/>
      <c r="K85" s="1271"/>
      <c r="L85" s="1698" t="str">
        <f t="shared" si="1"/>
        <v/>
      </c>
      <c r="M85" s="830"/>
      <c r="N85" s="1504"/>
      <c r="O85" s="1486"/>
    </row>
    <row r="86" spans="1:15" ht="18" x14ac:dyDescent="0.25">
      <c r="A86" s="2542"/>
      <c r="B86" s="1268"/>
      <c r="C86" s="1420"/>
      <c r="D86" s="1420"/>
      <c r="E86" s="1268"/>
      <c r="F86" s="1268"/>
      <c r="G86" s="1268"/>
      <c r="H86" s="1268"/>
      <c r="I86" s="1269"/>
      <c r="J86" s="1270"/>
      <c r="K86" s="1271"/>
      <c r="L86" s="1698" t="str">
        <f t="shared" si="1"/>
        <v/>
      </c>
      <c r="M86" s="830"/>
      <c r="N86" s="1504"/>
      <c r="O86" s="1486"/>
    </row>
    <row r="87" spans="1:15" ht="18" x14ac:dyDescent="0.25">
      <c r="A87" s="2542"/>
      <c r="B87" s="1268"/>
      <c r="C87" s="1420"/>
      <c r="D87" s="1420"/>
      <c r="E87" s="1268"/>
      <c r="F87" s="1268"/>
      <c r="G87" s="1268"/>
      <c r="H87" s="1268"/>
      <c r="I87" s="1269"/>
      <c r="J87" s="1270"/>
      <c r="K87" s="1271"/>
      <c r="L87" s="1698" t="str">
        <f t="shared" si="1"/>
        <v/>
      </c>
      <c r="M87" s="830"/>
      <c r="N87" s="1504"/>
      <c r="O87" s="1486"/>
    </row>
    <row r="88" spans="1:15" ht="18" x14ac:dyDescent="0.25">
      <c r="A88" s="2542"/>
      <c r="B88" s="1268"/>
      <c r="C88" s="1420"/>
      <c r="D88" s="1420"/>
      <c r="E88" s="1268"/>
      <c r="F88" s="1268"/>
      <c r="G88" s="1268"/>
      <c r="H88" s="1268"/>
      <c r="I88" s="1269"/>
      <c r="J88" s="1270"/>
      <c r="K88" s="1271"/>
      <c r="L88" s="1698" t="str">
        <f t="shared" si="1"/>
        <v/>
      </c>
      <c r="M88" s="830"/>
      <c r="N88" s="1504"/>
      <c r="O88" s="1486"/>
    </row>
    <row r="89" spans="1:15" ht="18" x14ac:dyDescent="0.25">
      <c r="A89" s="2542"/>
      <c r="B89" s="1268"/>
      <c r="C89" s="1420"/>
      <c r="D89" s="1420"/>
      <c r="E89" s="1268"/>
      <c r="F89" s="1268"/>
      <c r="G89" s="1268"/>
      <c r="H89" s="1268"/>
      <c r="I89" s="1269"/>
      <c r="J89" s="1270"/>
      <c r="K89" s="1271"/>
      <c r="L89" s="1698" t="str">
        <f t="shared" si="1"/>
        <v/>
      </c>
      <c r="M89" s="830"/>
      <c r="N89" s="1504"/>
      <c r="O89" s="1486"/>
    </row>
    <row r="90" spans="1:15" ht="18" x14ac:dyDescent="0.25">
      <c r="A90" s="2542"/>
      <c r="B90" s="1268"/>
      <c r="C90" s="1420"/>
      <c r="D90" s="1420"/>
      <c r="E90" s="1268"/>
      <c r="F90" s="1268"/>
      <c r="G90" s="1268"/>
      <c r="H90" s="1268"/>
      <c r="I90" s="1269"/>
      <c r="J90" s="1270"/>
      <c r="K90" s="1271"/>
      <c r="L90" s="1698" t="str">
        <f t="shared" si="1"/>
        <v/>
      </c>
      <c r="M90" s="830"/>
      <c r="N90" s="1504"/>
      <c r="O90" s="1486"/>
    </row>
    <row r="91" spans="1:15" ht="18" x14ac:dyDescent="0.25">
      <c r="A91" s="2542"/>
      <c r="B91" s="1268"/>
      <c r="C91" s="1420"/>
      <c r="D91" s="1420"/>
      <c r="E91" s="1268"/>
      <c r="F91" s="1268"/>
      <c r="G91" s="1268"/>
      <c r="H91" s="1268"/>
      <c r="I91" s="1269" t="s">
        <v>1476</v>
      </c>
      <c r="J91" s="1270">
        <v>0.4</v>
      </c>
      <c r="K91" s="1271">
        <v>0.5</v>
      </c>
      <c r="L91" s="1698">
        <f t="shared" si="1"/>
        <v>1</v>
      </c>
      <c r="M91" s="830"/>
      <c r="N91" s="1504"/>
      <c r="O91" s="1486"/>
    </row>
    <row r="92" spans="1:15" ht="18" x14ac:dyDescent="0.25">
      <c r="A92" s="2542"/>
      <c r="B92" s="1268"/>
      <c r="C92" s="1420"/>
      <c r="D92" s="1420"/>
      <c r="E92" s="1268"/>
      <c r="F92" s="1268"/>
      <c r="G92" s="1268"/>
      <c r="H92" s="1268"/>
      <c r="I92" s="1269" t="s">
        <v>1477</v>
      </c>
      <c r="J92" s="1270">
        <v>0.4</v>
      </c>
      <c r="K92" s="1271">
        <v>0.5</v>
      </c>
      <c r="L92" s="1698">
        <f t="shared" si="1"/>
        <v>1</v>
      </c>
      <c r="M92" s="830"/>
      <c r="N92" s="1504"/>
      <c r="O92" s="1486"/>
    </row>
    <row r="93" spans="1:15" ht="18.75" thickBot="1" x14ac:dyDescent="0.3">
      <c r="A93" s="2543"/>
      <c r="B93" s="1496"/>
      <c r="C93" s="1497"/>
      <c r="D93" s="1497"/>
      <c r="E93" s="1496"/>
      <c r="F93" s="1496"/>
      <c r="G93" s="1496"/>
      <c r="H93" s="1496"/>
      <c r="I93" s="1498" t="s">
        <v>1477</v>
      </c>
      <c r="J93" s="1499">
        <v>0.5</v>
      </c>
      <c r="K93" s="1500">
        <v>0.45</v>
      </c>
      <c r="L93" s="1698">
        <f t="shared" si="1"/>
        <v>0.9</v>
      </c>
      <c r="M93" s="1501"/>
      <c r="N93" s="1505"/>
      <c r="O93" s="1486"/>
    </row>
    <row r="94" spans="1:15" ht="18.75" thickTop="1" x14ac:dyDescent="0.25">
      <c r="A94" s="2538" t="str">
        <f>IF(A15="","",A15)</f>
        <v>Innovación y aprendizaje</v>
      </c>
      <c r="B94" s="1490"/>
      <c r="C94" s="1502"/>
      <c r="D94" s="1502"/>
      <c r="E94" s="1490"/>
      <c r="F94" s="1490"/>
      <c r="G94" s="1490"/>
      <c r="H94" s="1490"/>
      <c r="I94" s="1696" t="s">
        <v>1476</v>
      </c>
      <c r="J94" s="1493">
        <v>0.64</v>
      </c>
      <c r="K94" s="1494">
        <v>0.5</v>
      </c>
      <c r="L94" s="1697">
        <f t="shared" si="1"/>
        <v>0.78125</v>
      </c>
      <c r="M94" s="1495"/>
      <c r="N94" s="1503"/>
      <c r="O94" s="1486"/>
    </row>
    <row r="95" spans="1:15" ht="18" x14ac:dyDescent="0.25">
      <c r="A95" s="2539"/>
      <c r="B95" s="1268"/>
      <c r="C95" s="1420"/>
      <c r="D95" s="1420"/>
      <c r="E95" s="1268"/>
      <c r="F95" s="1268"/>
      <c r="G95" s="1268"/>
      <c r="H95" s="1268"/>
      <c r="I95" s="1269" t="s">
        <v>1476</v>
      </c>
      <c r="J95" s="1270">
        <v>0.4</v>
      </c>
      <c r="K95" s="1271">
        <v>0.5</v>
      </c>
      <c r="L95" s="1698">
        <f t="shared" si="1"/>
        <v>1</v>
      </c>
      <c r="M95" s="830"/>
      <c r="N95" s="1504"/>
      <c r="O95" s="1486"/>
    </row>
    <row r="96" spans="1:15" ht="18" x14ac:dyDescent="0.25">
      <c r="A96" s="2539"/>
      <c r="B96" s="1268"/>
      <c r="C96" s="1420"/>
      <c r="D96" s="1420"/>
      <c r="E96" s="1268"/>
      <c r="F96" s="1268"/>
      <c r="G96" s="1268"/>
      <c r="H96" s="1268"/>
      <c r="I96" s="1269"/>
      <c r="J96" s="1270"/>
      <c r="K96" s="1271"/>
      <c r="L96" s="1698" t="str">
        <f t="shared" si="1"/>
        <v/>
      </c>
      <c r="M96" s="830"/>
      <c r="N96" s="1504"/>
      <c r="O96" s="1486"/>
    </row>
    <row r="97" spans="1:15" ht="18" x14ac:dyDescent="0.25">
      <c r="A97" s="2539"/>
      <c r="B97" s="1268"/>
      <c r="C97" s="1420"/>
      <c r="D97" s="1420"/>
      <c r="E97" s="1268"/>
      <c r="F97" s="1268"/>
      <c r="G97" s="1268"/>
      <c r="H97" s="1268"/>
      <c r="I97" s="1269"/>
      <c r="J97" s="1270"/>
      <c r="K97" s="1271"/>
      <c r="L97" s="1698" t="str">
        <f t="shared" si="1"/>
        <v/>
      </c>
      <c r="M97" s="830"/>
      <c r="N97" s="1504"/>
      <c r="O97" s="1486"/>
    </row>
    <row r="98" spans="1:15" ht="18" x14ac:dyDescent="0.25">
      <c r="A98" s="2539"/>
      <c r="B98" s="1268"/>
      <c r="C98" s="1420"/>
      <c r="D98" s="1420"/>
      <c r="E98" s="1268"/>
      <c r="F98" s="1268"/>
      <c r="G98" s="1268"/>
      <c r="H98" s="1268"/>
      <c r="I98" s="1269"/>
      <c r="J98" s="1270"/>
      <c r="K98" s="1271"/>
      <c r="L98" s="1698" t="str">
        <f t="shared" si="1"/>
        <v/>
      </c>
      <c r="M98" s="830"/>
      <c r="N98" s="1504"/>
      <c r="O98" s="1486"/>
    </row>
    <row r="99" spans="1:15" ht="18" x14ac:dyDescent="0.25">
      <c r="A99" s="2539"/>
      <c r="B99" s="1268"/>
      <c r="C99" s="1420"/>
      <c r="D99" s="1420"/>
      <c r="E99" s="1268"/>
      <c r="F99" s="1268"/>
      <c r="G99" s="1268"/>
      <c r="H99" s="1268"/>
      <c r="I99" s="1269"/>
      <c r="J99" s="1270"/>
      <c r="K99" s="1271"/>
      <c r="L99" s="1698" t="str">
        <f t="shared" si="1"/>
        <v/>
      </c>
      <c r="M99" s="830"/>
      <c r="N99" s="1504"/>
      <c r="O99" s="1486"/>
    </row>
    <row r="100" spans="1:15" ht="18" x14ac:dyDescent="0.25">
      <c r="A100" s="2539"/>
      <c r="B100" s="1268"/>
      <c r="C100" s="1420"/>
      <c r="D100" s="1420"/>
      <c r="E100" s="1268"/>
      <c r="F100" s="1268"/>
      <c r="G100" s="1268"/>
      <c r="H100" s="1268"/>
      <c r="I100" s="1269"/>
      <c r="J100" s="1270"/>
      <c r="K100" s="1271"/>
      <c r="L100" s="1698" t="str">
        <f t="shared" si="1"/>
        <v/>
      </c>
      <c r="M100" s="830"/>
      <c r="N100" s="1504"/>
      <c r="O100" s="1486"/>
    </row>
    <row r="101" spans="1:15" ht="18" x14ac:dyDescent="0.25">
      <c r="A101" s="2539"/>
      <c r="B101" s="1268"/>
      <c r="C101" s="1420"/>
      <c r="D101" s="1420"/>
      <c r="E101" s="1268"/>
      <c r="F101" s="1268"/>
      <c r="G101" s="1268"/>
      <c r="H101" s="1268"/>
      <c r="I101" s="1269"/>
      <c r="J101" s="1270"/>
      <c r="K101" s="1271"/>
      <c r="L101" s="1698" t="str">
        <f t="shared" si="1"/>
        <v/>
      </c>
      <c r="M101" s="830"/>
      <c r="N101" s="1504"/>
      <c r="O101" s="1486"/>
    </row>
    <row r="102" spans="1:15" ht="18" x14ac:dyDescent="0.25">
      <c r="A102" s="2539"/>
      <c r="B102" s="1268"/>
      <c r="C102" s="1420"/>
      <c r="D102" s="1420"/>
      <c r="E102" s="1268"/>
      <c r="F102" s="1268"/>
      <c r="G102" s="1268"/>
      <c r="H102" s="1268"/>
      <c r="I102" s="1269"/>
      <c r="J102" s="1270"/>
      <c r="K102" s="1271"/>
      <c r="L102" s="1698" t="str">
        <f t="shared" si="1"/>
        <v/>
      </c>
      <c r="M102" s="830"/>
      <c r="N102" s="1504"/>
      <c r="O102" s="1486"/>
    </row>
    <row r="103" spans="1:15" ht="18" x14ac:dyDescent="0.25">
      <c r="A103" s="2539"/>
      <c r="B103" s="1268"/>
      <c r="C103" s="1420"/>
      <c r="D103" s="1420"/>
      <c r="E103" s="1268"/>
      <c r="F103" s="1268"/>
      <c r="G103" s="1268"/>
      <c r="H103" s="1268"/>
      <c r="I103" s="1269"/>
      <c r="J103" s="1270"/>
      <c r="K103" s="1271"/>
      <c r="L103" s="1698" t="str">
        <f t="shared" si="1"/>
        <v/>
      </c>
      <c r="M103" s="830"/>
      <c r="N103" s="1504"/>
      <c r="O103" s="1486"/>
    </row>
    <row r="104" spans="1:15" ht="18" x14ac:dyDescent="0.25">
      <c r="A104" s="2539"/>
      <c r="B104" s="1268"/>
      <c r="C104" s="1420"/>
      <c r="D104" s="1420"/>
      <c r="E104" s="1268"/>
      <c r="F104" s="1268"/>
      <c r="G104" s="1268"/>
      <c r="H104" s="1268"/>
      <c r="I104" s="1269"/>
      <c r="J104" s="1270"/>
      <c r="K104" s="1271"/>
      <c r="L104" s="1698" t="str">
        <f t="shared" si="1"/>
        <v/>
      </c>
      <c r="M104" s="830"/>
      <c r="N104" s="1504"/>
      <c r="O104" s="1486"/>
    </row>
    <row r="105" spans="1:15" ht="18" x14ac:dyDescent="0.25">
      <c r="A105" s="2539"/>
      <c r="B105" s="1268"/>
      <c r="C105" s="1420"/>
      <c r="D105" s="1420"/>
      <c r="E105" s="1268"/>
      <c r="F105" s="1268"/>
      <c r="G105" s="1268"/>
      <c r="H105" s="1268"/>
      <c r="I105" s="1269"/>
      <c r="J105" s="1270"/>
      <c r="K105" s="1271"/>
      <c r="L105" s="1698" t="str">
        <f t="shared" si="1"/>
        <v/>
      </c>
      <c r="M105" s="830"/>
      <c r="N105" s="1504"/>
      <c r="O105" s="1486"/>
    </row>
    <row r="106" spans="1:15" ht="18" x14ac:dyDescent="0.25">
      <c r="A106" s="2539"/>
      <c r="B106" s="1268"/>
      <c r="C106" s="1420"/>
      <c r="D106" s="1420"/>
      <c r="E106" s="1268"/>
      <c r="F106" s="1268"/>
      <c r="G106" s="1268"/>
      <c r="H106" s="1268"/>
      <c r="I106" s="1269"/>
      <c r="J106" s="1270"/>
      <c r="K106" s="1271"/>
      <c r="L106" s="1698" t="str">
        <f t="shared" si="1"/>
        <v/>
      </c>
      <c r="M106" s="830"/>
      <c r="N106" s="1504"/>
      <c r="O106" s="1486"/>
    </row>
    <row r="107" spans="1:15" ht="18" x14ac:dyDescent="0.25">
      <c r="A107" s="2539"/>
      <c r="B107" s="1268"/>
      <c r="C107" s="1420"/>
      <c r="D107" s="1420"/>
      <c r="E107" s="1268"/>
      <c r="F107" s="1268"/>
      <c r="G107" s="1268"/>
      <c r="H107" s="1268"/>
      <c r="I107" s="1269"/>
      <c r="J107" s="1270"/>
      <c r="K107" s="1271"/>
      <c r="L107" s="1698" t="str">
        <f t="shared" si="1"/>
        <v/>
      </c>
      <c r="M107" s="830"/>
      <c r="N107" s="1504"/>
      <c r="O107" s="1486"/>
    </row>
    <row r="108" spans="1:15" ht="18" x14ac:dyDescent="0.25">
      <c r="A108" s="2539"/>
      <c r="B108" s="1268"/>
      <c r="C108" s="1420"/>
      <c r="D108" s="1420"/>
      <c r="E108" s="1268"/>
      <c r="F108" s="1268"/>
      <c r="G108" s="1268"/>
      <c r="H108" s="1268"/>
      <c r="I108" s="1269"/>
      <c r="J108" s="1270"/>
      <c r="K108" s="1271"/>
      <c r="L108" s="1698" t="str">
        <f t="shared" si="1"/>
        <v/>
      </c>
      <c r="M108" s="830"/>
      <c r="N108" s="1504"/>
      <c r="O108" s="1486"/>
    </row>
    <row r="109" spans="1:15" ht="18" x14ac:dyDescent="0.25">
      <c r="A109" s="2539"/>
      <c r="B109" s="1268"/>
      <c r="C109" s="1420"/>
      <c r="D109" s="1420"/>
      <c r="E109" s="1268"/>
      <c r="F109" s="1268"/>
      <c r="G109" s="1268"/>
      <c r="H109" s="1268"/>
      <c r="I109" s="1269"/>
      <c r="J109" s="1270"/>
      <c r="K109" s="1271"/>
      <c r="L109" s="1698" t="str">
        <f t="shared" si="1"/>
        <v/>
      </c>
      <c r="M109" s="830"/>
      <c r="N109" s="1504"/>
      <c r="O109" s="1486"/>
    </row>
    <row r="110" spans="1:15" ht="18" x14ac:dyDescent="0.25">
      <c r="A110" s="2539"/>
      <c r="B110" s="1268"/>
      <c r="C110" s="1420"/>
      <c r="D110" s="1420"/>
      <c r="E110" s="1268"/>
      <c r="F110" s="1268"/>
      <c r="G110" s="1268"/>
      <c r="H110" s="1268"/>
      <c r="I110" s="1269"/>
      <c r="J110" s="1270"/>
      <c r="K110" s="1271"/>
      <c r="L110" s="1698" t="str">
        <f t="shared" si="1"/>
        <v/>
      </c>
      <c r="M110" s="830"/>
      <c r="N110" s="1504"/>
      <c r="O110" s="1486"/>
    </row>
    <row r="111" spans="1:15" ht="18" x14ac:dyDescent="0.25">
      <c r="A111" s="2539"/>
      <c r="B111" s="1268"/>
      <c r="C111" s="1420"/>
      <c r="D111" s="1420"/>
      <c r="E111" s="1268"/>
      <c r="F111" s="1268"/>
      <c r="G111" s="1268"/>
      <c r="H111" s="1268"/>
      <c r="I111" s="1269"/>
      <c r="J111" s="1270"/>
      <c r="K111" s="1271"/>
      <c r="L111" s="1698" t="str">
        <f t="shared" si="1"/>
        <v/>
      </c>
      <c r="M111" s="830"/>
      <c r="N111" s="1504"/>
      <c r="O111" s="1486"/>
    </row>
    <row r="112" spans="1:15" ht="18" x14ac:dyDescent="0.25">
      <c r="A112" s="2539"/>
      <c r="B112" s="1268"/>
      <c r="C112" s="1420"/>
      <c r="D112" s="1420"/>
      <c r="E112" s="1268"/>
      <c r="F112" s="1268"/>
      <c r="G112" s="1268"/>
      <c r="H112" s="1268"/>
      <c r="I112" s="1269" t="s">
        <v>1477</v>
      </c>
      <c r="J112" s="1270">
        <v>0.4</v>
      </c>
      <c r="K112" s="1271">
        <v>0.5</v>
      </c>
      <c r="L112" s="1698">
        <f t="shared" si="1"/>
        <v>1</v>
      </c>
      <c r="M112" s="830"/>
      <c r="N112" s="1504"/>
      <c r="O112" s="1486"/>
    </row>
    <row r="113" spans="1:15" ht="18" x14ac:dyDescent="0.25">
      <c r="A113" s="2539"/>
      <c r="B113" s="1268"/>
      <c r="C113" s="1420"/>
      <c r="D113" s="1420"/>
      <c r="E113" s="1268"/>
      <c r="F113" s="1268"/>
      <c r="G113" s="1268"/>
      <c r="H113" s="1268"/>
      <c r="I113" s="1269" t="s">
        <v>1477</v>
      </c>
      <c r="J113" s="1270">
        <v>0.95</v>
      </c>
      <c r="K113" s="1271">
        <v>0.5</v>
      </c>
      <c r="L113" s="1698">
        <f t="shared" si="1"/>
        <v>0.52631578947368418</v>
      </c>
      <c r="M113" s="830"/>
      <c r="N113" s="1504"/>
      <c r="O113" s="1486"/>
    </row>
    <row r="114" spans="1:15" ht="18" x14ac:dyDescent="0.25">
      <c r="A114" s="2539"/>
      <c r="B114" s="1268"/>
      <c r="C114" s="1420"/>
      <c r="D114" s="1420"/>
      <c r="E114" s="1268"/>
      <c r="F114" s="1268"/>
      <c r="G114" s="1268"/>
      <c r="H114" s="1268"/>
      <c r="I114" s="1269"/>
      <c r="J114" s="1270"/>
      <c r="K114" s="1271"/>
      <c r="L114" s="1698" t="str">
        <f t="shared" si="1"/>
        <v/>
      </c>
      <c r="M114" s="830"/>
      <c r="N114" s="1504"/>
      <c r="O114" s="1486"/>
    </row>
    <row r="115" spans="1:15" ht="18.75" thickBot="1" x14ac:dyDescent="0.3">
      <c r="A115" s="2540"/>
      <c r="B115" s="1496"/>
      <c r="C115" s="1497"/>
      <c r="D115" s="1497"/>
      <c r="E115" s="1496"/>
      <c r="F115" s="1496"/>
      <c r="G115" s="1496"/>
      <c r="H115" s="1496"/>
      <c r="I115" s="1498" t="s">
        <v>1476</v>
      </c>
      <c r="J115" s="1499">
        <v>0.4</v>
      </c>
      <c r="K115" s="1500">
        <v>0.5</v>
      </c>
      <c r="L115" s="1699">
        <f t="shared" si="1"/>
        <v>1</v>
      </c>
      <c r="M115" s="1501"/>
      <c r="N115" s="1505"/>
      <c r="O115" s="1486"/>
    </row>
    <row r="116" spans="1:15" ht="18.75" thickTop="1" x14ac:dyDescent="0.25">
      <c r="A116" s="2538" t="str">
        <f>IF(A16="","",A16)</f>
        <v>Otros</v>
      </c>
      <c r="B116" s="1490"/>
      <c r="C116" s="1502"/>
      <c r="D116" s="1502"/>
      <c r="E116" s="1490"/>
      <c r="F116" s="1490"/>
      <c r="G116" s="1490"/>
      <c r="H116" s="1490"/>
      <c r="I116" s="1696"/>
      <c r="J116" s="1493"/>
      <c r="K116" s="1494"/>
      <c r="L116" s="1700" t="str">
        <f>IFERROR(IF(K116/J116&gt;1,100%,K116/J116),"")</f>
        <v/>
      </c>
      <c r="M116" s="1495"/>
      <c r="N116" s="1503"/>
      <c r="O116" s="1486"/>
    </row>
    <row r="117" spans="1:15" ht="18" x14ac:dyDescent="0.25">
      <c r="A117" s="2539"/>
      <c r="B117" s="1268"/>
      <c r="C117" s="1420"/>
      <c r="D117" s="1420"/>
      <c r="E117" s="1268"/>
      <c r="F117" s="1268"/>
      <c r="G117" s="1268"/>
      <c r="H117" s="1268"/>
      <c r="I117" s="1269"/>
      <c r="J117" s="1270"/>
      <c r="K117" s="1271"/>
      <c r="L117" s="1698" t="str">
        <f>IFERROR(IF(K117/J117&gt;1,100%,K117/J117),"")</f>
        <v/>
      </c>
      <c r="M117" s="830"/>
      <c r="N117" s="1504"/>
      <c r="O117" s="1486"/>
    </row>
    <row r="118" spans="1:15" ht="18" x14ac:dyDescent="0.25">
      <c r="A118" s="2539"/>
      <c r="B118" s="1268"/>
      <c r="C118" s="1420"/>
      <c r="D118" s="1420"/>
      <c r="E118" s="1268"/>
      <c r="F118" s="1268"/>
      <c r="G118" s="1268"/>
      <c r="H118" s="1268"/>
      <c r="I118" s="1269"/>
      <c r="J118" s="1270"/>
      <c r="K118" s="1271"/>
      <c r="L118" s="1698" t="str">
        <f>IFERROR(IF(K118/J118&gt;1,100%,K118/J118),"")</f>
        <v/>
      </c>
      <c r="M118" s="830"/>
      <c r="N118" s="1504"/>
      <c r="O118" s="1486"/>
    </row>
    <row r="119" spans="1:15" ht="18" x14ac:dyDescent="0.25">
      <c r="A119" s="2539"/>
      <c r="B119" s="1268"/>
      <c r="C119" s="1420"/>
      <c r="D119" s="1420"/>
      <c r="E119" s="1268"/>
      <c r="F119" s="1268"/>
      <c r="G119" s="1268"/>
      <c r="H119" s="1268"/>
      <c r="I119" s="1269"/>
      <c r="J119" s="1270"/>
      <c r="K119" s="1271"/>
      <c r="L119" s="1698" t="str">
        <f t="shared" ref="L119:L132" si="3">IFERROR(IF(K119/J119&gt;1,100%,K119/J119),"")</f>
        <v/>
      </c>
      <c r="M119" s="830"/>
      <c r="N119" s="1504"/>
      <c r="O119" s="1486"/>
    </row>
    <row r="120" spans="1:15" ht="18" x14ac:dyDescent="0.25">
      <c r="A120" s="2539"/>
      <c r="B120" s="1268"/>
      <c r="C120" s="1420"/>
      <c r="D120" s="1420"/>
      <c r="E120" s="1268"/>
      <c r="F120" s="1268"/>
      <c r="G120" s="1268"/>
      <c r="H120" s="1268"/>
      <c r="I120" s="1269"/>
      <c r="J120" s="1270"/>
      <c r="K120" s="1271"/>
      <c r="L120" s="1698" t="str">
        <f>IFERROR(IF(K120/J120&gt;1,100%,K120/J120),"")</f>
        <v/>
      </c>
      <c r="M120" s="830"/>
      <c r="N120" s="1504"/>
      <c r="O120" s="1486"/>
    </row>
    <row r="121" spans="1:15" ht="18" x14ac:dyDescent="0.25">
      <c r="A121" s="2539"/>
      <c r="B121" s="1268"/>
      <c r="C121" s="1420"/>
      <c r="D121" s="1420"/>
      <c r="E121" s="1268"/>
      <c r="F121" s="1268"/>
      <c r="G121" s="1268"/>
      <c r="H121" s="1268"/>
      <c r="I121" s="1269"/>
      <c r="J121" s="1270"/>
      <c r="K121" s="1271"/>
      <c r="L121" s="1698" t="str">
        <f t="shared" si="3"/>
        <v/>
      </c>
      <c r="M121" s="830"/>
      <c r="N121" s="1504"/>
      <c r="O121" s="1486"/>
    </row>
    <row r="122" spans="1:15" ht="18" x14ac:dyDescent="0.25">
      <c r="A122" s="2539"/>
      <c r="B122" s="1268"/>
      <c r="C122" s="1420"/>
      <c r="D122" s="1420"/>
      <c r="E122" s="1268"/>
      <c r="F122" s="1268"/>
      <c r="G122" s="1268"/>
      <c r="H122" s="1268"/>
      <c r="I122" s="1269"/>
      <c r="J122" s="1270"/>
      <c r="K122" s="1271"/>
      <c r="L122" s="1698" t="str">
        <f t="shared" si="3"/>
        <v/>
      </c>
      <c r="M122" s="830"/>
      <c r="N122" s="1504"/>
      <c r="O122" s="1486"/>
    </row>
    <row r="123" spans="1:15" ht="18" x14ac:dyDescent="0.25">
      <c r="A123" s="2539"/>
      <c r="B123" s="1268"/>
      <c r="C123" s="1420"/>
      <c r="D123" s="1420"/>
      <c r="E123" s="1268"/>
      <c r="F123" s="1268"/>
      <c r="G123" s="1268"/>
      <c r="H123" s="1268"/>
      <c r="I123" s="1269"/>
      <c r="J123" s="1270"/>
      <c r="K123" s="1271"/>
      <c r="L123" s="1698" t="str">
        <f t="shared" si="3"/>
        <v/>
      </c>
      <c r="M123" s="830"/>
      <c r="N123" s="1504"/>
      <c r="O123" s="1486"/>
    </row>
    <row r="124" spans="1:15" ht="18" x14ac:dyDescent="0.25">
      <c r="A124" s="2539"/>
      <c r="B124" s="1268"/>
      <c r="C124" s="1420"/>
      <c r="D124" s="1420"/>
      <c r="E124" s="1268"/>
      <c r="F124" s="1268"/>
      <c r="G124" s="1268"/>
      <c r="H124" s="1268"/>
      <c r="I124" s="1269"/>
      <c r="J124" s="1270"/>
      <c r="K124" s="1271"/>
      <c r="L124" s="1698" t="str">
        <f t="shared" si="3"/>
        <v/>
      </c>
      <c r="M124" s="830"/>
      <c r="N124" s="1504"/>
      <c r="O124" s="1486"/>
    </row>
    <row r="125" spans="1:15" ht="18" x14ac:dyDescent="0.25">
      <c r="A125" s="2539"/>
      <c r="B125" s="1268"/>
      <c r="C125" s="1420"/>
      <c r="D125" s="1420"/>
      <c r="E125" s="1268"/>
      <c r="F125" s="1268"/>
      <c r="G125" s="1268"/>
      <c r="H125" s="1268"/>
      <c r="I125" s="1269"/>
      <c r="J125" s="1270"/>
      <c r="K125" s="1271"/>
      <c r="L125" s="1698" t="str">
        <f t="shared" si="3"/>
        <v/>
      </c>
      <c r="M125" s="830"/>
      <c r="N125" s="1504"/>
      <c r="O125" s="1486"/>
    </row>
    <row r="126" spans="1:15" ht="18" x14ac:dyDescent="0.25">
      <c r="A126" s="2539"/>
      <c r="B126" s="1268"/>
      <c r="C126" s="1420"/>
      <c r="D126" s="1420"/>
      <c r="E126" s="1268"/>
      <c r="F126" s="1268"/>
      <c r="G126" s="1268"/>
      <c r="H126" s="1268"/>
      <c r="I126" s="1269"/>
      <c r="J126" s="1270"/>
      <c r="K126" s="1271"/>
      <c r="L126" s="1698" t="str">
        <f t="shared" si="3"/>
        <v/>
      </c>
      <c r="M126" s="830"/>
      <c r="N126" s="1504"/>
      <c r="O126" s="1486"/>
    </row>
    <row r="127" spans="1:15" ht="18" x14ac:dyDescent="0.25">
      <c r="A127" s="2539"/>
      <c r="B127" s="1268"/>
      <c r="C127" s="1420"/>
      <c r="D127" s="1420"/>
      <c r="E127" s="1268"/>
      <c r="F127" s="1268"/>
      <c r="G127" s="1268"/>
      <c r="H127" s="1268"/>
      <c r="I127" s="1269"/>
      <c r="J127" s="1270"/>
      <c r="K127" s="1271"/>
      <c r="L127" s="1698" t="str">
        <f t="shared" si="3"/>
        <v/>
      </c>
      <c r="M127" s="830"/>
      <c r="N127" s="1504"/>
      <c r="O127" s="1486"/>
    </row>
    <row r="128" spans="1:15" ht="18" x14ac:dyDescent="0.25">
      <c r="A128" s="2539"/>
      <c r="B128" s="1268"/>
      <c r="C128" s="1420"/>
      <c r="D128" s="1420"/>
      <c r="E128" s="1268"/>
      <c r="F128" s="1268"/>
      <c r="G128" s="1268"/>
      <c r="H128" s="1268"/>
      <c r="I128" s="1269"/>
      <c r="J128" s="1270"/>
      <c r="K128" s="1271"/>
      <c r="L128" s="1698" t="str">
        <f t="shared" si="3"/>
        <v/>
      </c>
      <c r="M128" s="830"/>
      <c r="N128" s="1504"/>
      <c r="O128" s="1486"/>
    </row>
    <row r="129" spans="1:15" ht="18" x14ac:dyDescent="0.25">
      <c r="A129" s="2539"/>
      <c r="B129" s="1268"/>
      <c r="C129" s="1420"/>
      <c r="D129" s="1420"/>
      <c r="E129" s="1268"/>
      <c r="F129" s="1268"/>
      <c r="G129" s="1268"/>
      <c r="H129" s="1268"/>
      <c r="I129" s="1269"/>
      <c r="J129" s="1270"/>
      <c r="K129" s="1271"/>
      <c r="L129" s="1698" t="str">
        <f t="shared" si="3"/>
        <v/>
      </c>
      <c r="M129" s="830"/>
      <c r="N129" s="1504"/>
      <c r="O129" s="1486"/>
    </row>
    <row r="130" spans="1:15" ht="18" x14ac:dyDescent="0.25">
      <c r="A130" s="2539"/>
      <c r="B130" s="1268"/>
      <c r="C130" s="1420"/>
      <c r="D130" s="1420"/>
      <c r="E130" s="1268"/>
      <c r="F130" s="1268"/>
      <c r="G130" s="1268"/>
      <c r="H130" s="1268"/>
      <c r="I130" s="1269"/>
      <c r="J130" s="1270"/>
      <c r="K130" s="1271"/>
      <c r="L130" s="1698" t="str">
        <f t="shared" si="3"/>
        <v/>
      </c>
      <c r="M130" s="830"/>
      <c r="N130" s="1504"/>
      <c r="O130" s="1486"/>
    </row>
    <row r="131" spans="1:15" ht="18" x14ac:dyDescent="0.25">
      <c r="A131" s="2539"/>
      <c r="B131" s="1268"/>
      <c r="C131" s="1420"/>
      <c r="D131" s="1420"/>
      <c r="E131" s="1268"/>
      <c r="F131" s="1268"/>
      <c r="G131" s="1268"/>
      <c r="H131" s="1268"/>
      <c r="I131" s="1269"/>
      <c r="J131" s="1270"/>
      <c r="K131" s="1271"/>
      <c r="L131" s="1698" t="str">
        <f t="shared" si="3"/>
        <v/>
      </c>
      <c r="M131" s="830"/>
      <c r="N131" s="1504"/>
      <c r="O131" s="1486"/>
    </row>
    <row r="132" spans="1:15" ht="18.75" thickBot="1" x14ac:dyDescent="0.3">
      <c r="A132" s="2540"/>
      <c r="B132" s="1496"/>
      <c r="C132" s="1497"/>
      <c r="D132" s="1497"/>
      <c r="E132" s="1496"/>
      <c r="F132" s="1496"/>
      <c r="G132" s="1496"/>
      <c r="H132" s="1496"/>
      <c r="I132" s="1498"/>
      <c r="J132" s="1499"/>
      <c r="K132" s="1500"/>
      <c r="L132" s="1699" t="str">
        <f t="shared" si="3"/>
        <v/>
      </c>
      <c r="M132" s="1501"/>
      <c r="N132" s="1505"/>
      <c r="O132" s="1486"/>
    </row>
    <row r="133" spans="1:15" ht="15.75" thickTop="1" x14ac:dyDescent="0.25"/>
  </sheetData>
  <sheetProtection algorithmName="SHA-512" hashValue="Ssp+4P2nRlU0gydMn9S631LHLDHxocU6WUg8fJX2bdaJjQW4LTBsWCuydUk+/4DmFSEIwCvKKGewmHk006gkpg==" saltValue="430kacI9yGMFgMzJY77vNQ==" spinCount="100000" sheet="1" formatColumns="0" insertRows="0" deleteRows="0" autoFilter="0" pivotTables="0"/>
  <autoFilter ref="A25:ACR25" xr:uid="{00000000-0009-0000-0000-00000E000000}"/>
  <mergeCells count="20">
    <mergeCell ref="A116:A132"/>
    <mergeCell ref="A26:A48"/>
    <mergeCell ref="A49:A76"/>
    <mergeCell ref="A77:A93"/>
    <mergeCell ref="A94:A115"/>
    <mergeCell ref="L12:M12"/>
    <mergeCell ref="L13:M13"/>
    <mergeCell ref="L14:M14"/>
    <mergeCell ref="A23:N23"/>
    <mergeCell ref="J18:K22"/>
    <mergeCell ref="I11:M11"/>
    <mergeCell ref="A2:A3"/>
    <mergeCell ref="B2:L3"/>
    <mergeCell ref="M2:N2"/>
    <mergeCell ref="M3:N3"/>
    <mergeCell ref="A4:H4"/>
    <mergeCell ref="B6:F6"/>
    <mergeCell ref="B7:F7"/>
    <mergeCell ref="B8:D8"/>
    <mergeCell ref="B9:F9"/>
  </mergeCells>
  <conditionalFormatting sqref="B2">
    <cfRule type="cellIs" dxfId="43" priority="25" operator="equal">
      <formula>"ERROR"</formula>
    </cfRule>
  </conditionalFormatting>
  <conditionalFormatting sqref="I13:I14">
    <cfRule type="cellIs" dxfId="42" priority="11" stopIfTrue="1" operator="greaterThanOrEqual">
      <formula>1</formula>
    </cfRule>
    <cfRule type="cellIs" dxfId="41" priority="12" stopIfTrue="1" operator="equal">
      <formula>0</formula>
    </cfRule>
  </conditionalFormatting>
  <conditionalFormatting sqref="K13:K14">
    <cfRule type="cellIs" dxfId="40" priority="7" stopIfTrue="1" operator="greaterThanOrEqual">
      <formula>0.75</formula>
    </cfRule>
    <cfRule type="cellIs" dxfId="39" priority="8" stopIfTrue="1" operator="lessThan">
      <formula>0.75</formula>
    </cfRule>
  </conditionalFormatting>
  <conditionalFormatting sqref="L13">
    <cfRule type="containsText" dxfId="38" priority="3" operator="containsText" text="INEFICAZ">
      <formula>NOT(ISERROR(SEARCH("INEFICAZ",L13)))</formula>
    </cfRule>
    <cfRule type="containsText" dxfId="37" priority="4" operator="containsText" text="EFICAZ">
      <formula>NOT(ISERROR(SEARCH("EFICAZ",L13)))</formula>
    </cfRule>
  </conditionalFormatting>
  <conditionalFormatting sqref="L14">
    <cfRule type="containsText" dxfId="36" priority="5" operator="containsText" text="INEFICIENTE">
      <formula>NOT(ISERROR(SEARCH("INEFICIENTE",L14)))</formula>
    </cfRule>
    <cfRule type="containsText" dxfId="35" priority="6" operator="containsText" text="EFICIENTE">
      <formula>NOT(ISERROR(SEARCH("EFICIENTE",L14)))</formula>
    </cfRule>
  </conditionalFormatting>
  <conditionalFormatting sqref="M2:M3">
    <cfRule type="cellIs" dxfId="34" priority="15" operator="equal">
      <formula>"INEXISTENTE"</formula>
    </cfRule>
    <cfRule type="cellIs" dxfId="33" priority="16" operator="equal">
      <formula>"INADECUADO"</formula>
    </cfRule>
    <cfRule type="cellIs" dxfId="32" priority="17" operator="equal">
      <formula>"PARCIALMENTE ADECUADO"</formula>
    </cfRule>
    <cfRule type="cellIs" dxfId="31" priority="18" operator="equal">
      <formula>"ADECUADO"</formula>
    </cfRule>
    <cfRule type="cellIs" dxfId="30" priority="19" operator="equal">
      <formula>"ERROR"</formula>
    </cfRule>
  </conditionalFormatting>
  <dataValidations count="1">
    <dataValidation type="list" allowBlank="1" showInputMessage="1" showErrorMessage="1" sqref="I26:I132" xr:uid="{00000000-0002-0000-0E00-000000000000}">
      <formula1>$ACR$3:$ACR$4</formula1>
    </dataValidation>
  </dataValidations>
  <pageMargins left="0.7" right="0.7" top="0.75" bottom="0.75" header="0.3" footer="0.3"/>
  <pageSetup orientation="portrait" horizontalDpi="4294967293" verticalDpi="0"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rgb="FF00FF00"/>
  </sheetPr>
  <dimension ref="A1:AF204"/>
  <sheetViews>
    <sheetView zoomScaleNormal="100" workbookViewId="0">
      <selection activeCell="E127" sqref="E127:F127"/>
    </sheetView>
  </sheetViews>
  <sheetFormatPr baseColWidth="10" defaultColWidth="11.42578125" defaultRowHeight="14.25" x14ac:dyDescent="0.2"/>
  <cols>
    <col min="1" max="1" width="25.7109375" style="30" customWidth="1"/>
    <col min="2" max="2" width="27.85546875" style="30" customWidth="1"/>
    <col min="3" max="3" width="24.42578125" style="30" customWidth="1"/>
    <col min="4" max="4" width="25.85546875" style="30" customWidth="1"/>
    <col min="5" max="5" width="20.5703125" style="30" customWidth="1"/>
    <col min="6" max="6" width="24" style="30" customWidth="1"/>
    <col min="7" max="7" width="37.7109375" style="30" customWidth="1"/>
    <col min="8" max="8" width="34.5703125" style="29" customWidth="1"/>
    <col min="9" max="32" width="11.42578125" style="29"/>
    <col min="33" max="16384" width="11.42578125" style="30"/>
  </cols>
  <sheetData>
    <row r="1" spans="1:32" ht="86.25" customHeight="1" x14ac:dyDescent="0.2">
      <c r="A1" s="31"/>
      <c r="B1" s="2551" t="s">
        <v>1656</v>
      </c>
      <c r="C1" s="2552"/>
      <c r="D1" s="2552"/>
      <c r="E1" s="2552"/>
      <c r="F1" s="2553"/>
      <c r="G1" s="1092" t="s">
        <v>1733</v>
      </c>
      <c r="AF1" s="30"/>
    </row>
    <row r="2" spans="1:32" ht="18" x14ac:dyDescent="0.25">
      <c r="A2" s="2544"/>
      <c r="B2" s="2544"/>
      <c r="C2" s="2544"/>
      <c r="D2" s="2544"/>
      <c r="E2" s="2544"/>
      <c r="F2" s="2544"/>
      <c r="G2" s="2544"/>
    </row>
    <row r="3" spans="1:32" x14ac:dyDescent="0.2">
      <c r="A3" s="32" t="s">
        <v>0</v>
      </c>
      <c r="B3" s="2549" t="str">
        <f>+FENECIMIENTO!D4</f>
        <v xml:space="preserve">80000 - DIRECCIÓN SECTOR MOVILIDAD </v>
      </c>
      <c r="C3" s="2550"/>
      <c r="D3" s="2550"/>
      <c r="E3" s="2550"/>
      <c r="F3" s="32"/>
      <c r="G3" s="11"/>
    </row>
    <row r="4" spans="1:32" ht="33.6" customHeight="1" x14ac:dyDescent="0.2">
      <c r="A4" s="32" t="s">
        <v>1</v>
      </c>
      <c r="B4" s="2251" t="str">
        <f>+FENECIMIENTO!D5</f>
        <v xml:space="preserve">262 - Empresa de Transporte del Tercer Milenio - Transmilenio S.A. </v>
      </c>
      <c r="C4" s="2252"/>
      <c r="D4" s="2252"/>
      <c r="E4" s="2252"/>
      <c r="F4" s="34" t="s">
        <v>2</v>
      </c>
      <c r="G4" s="1272">
        <f>+FENECIMIENTO!K5</f>
        <v>2024</v>
      </c>
    </row>
    <row r="5" spans="1:32" x14ac:dyDescent="0.2">
      <c r="A5" s="1015" t="s">
        <v>1589</v>
      </c>
      <c r="B5" s="2554">
        <f>+FENECIMIENTO!D6</f>
        <v>2025</v>
      </c>
      <c r="C5" s="2554"/>
      <c r="D5" s="32"/>
      <c r="E5" s="32"/>
      <c r="F5" s="32" t="s">
        <v>3</v>
      </c>
      <c r="G5" s="1273">
        <f>+FENECIMIENTO!K6</f>
        <v>87</v>
      </c>
    </row>
    <row r="6" spans="1:32" ht="17.45" customHeight="1" x14ac:dyDescent="0.2">
      <c r="A6" s="32" t="s">
        <v>4</v>
      </c>
      <c r="B6" s="2555">
        <f>+FENECIMIENTO!D7</f>
        <v>45693</v>
      </c>
      <c r="C6" s="2556"/>
      <c r="D6" s="32"/>
      <c r="E6" s="11"/>
      <c r="F6" s="34" t="s">
        <v>5</v>
      </c>
      <c r="G6" s="1274">
        <f>+FENECIMIENTO!K7</f>
        <v>45693</v>
      </c>
    </row>
    <row r="7" spans="1:32" ht="15" thickBot="1" x14ac:dyDescent="0.25">
      <c r="A7" s="32"/>
      <c r="B7" s="32"/>
      <c r="C7" s="32"/>
      <c r="D7" s="32"/>
      <c r="E7" s="32"/>
      <c r="F7" s="32"/>
      <c r="G7" s="32"/>
    </row>
    <row r="8" spans="1:32" ht="15.75" customHeight="1" thickTop="1" thickBot="1" x14ac:dyDescent="0.25">
      <c r="A8" s="2557" t="s">
        <v>6</v>
      </c>
      <c r="B8" s="2557"/>
      <c r="C8" s="2557"/>
      <c r="D8" s="2557"/>
      <c r="E8" s="2557"/>
      <c r="F8" s="2557"/>
      <c r="G8" s="2557"/>
    </row>
    <row r="9" spans="1:32" ht="27" thickTop="1" thickBot="1" x14ac:dyDescent="0.25">
      <c r="A9" s="2558" t="s">
        <v>7</v>
      </c>
      <c r="B9" s="2559"/>
      <c r="C9" s="1275" t="s">
        <v>8</v>
      </c>
      <c r="D9" s="1275" t="s">
        <v>9</v>
      </c>
      <c r="E9" s="1275" t="s">
        <v>10</v>
      </c>
      <c r="F9" s="1275" t="s">
        <v>11</v>
      </c>
      <c r="G9" s="1276" t="s">
        <v>438</v>
      </c>
    </row>
    <row r="10" spans="1:32" ht="15" customHeight="1" thickTop="1" x14ac:dyDescent="0.2">
      <c r="A10" s="2545" t="s">
        <v>13</v>
      </c>
      <c r="B10" s="2546" t="s">
        <v>14</v>
      </c>
      <c r="C10" s="221">
        <v>20</v>
      </c>
      <c r="D10" s="222">
        <v>589000000</v>
      </c>
      <c r="E10" s="1277">
        <f>IFERROR(D10/$D$21,"")</f>
        <v>0.27113288415069109</v>
      </c>
      <c r="F10" s="222">
        <v>1200000</v>
      </c>
      <c r="G10" s="1280">
        <f>IFERROR(F10/D10,"")</f>
        <v>2.0373514431239388E-3</v>
      </c>
    </row>
    <row r="11" spans="1:32" x14ac:dyDescent="0.2">
      <c r="A11" s="2547" t="s">
        <v>15</v>
      </c>
      <c r="B11" s="2548" t="s">
        <v>16</v>
      </c>
      <c r="C11" s="223">
        <v>36</v>
      </c>
      <c r="D11" s="224">
        <v>776460200</v>
      </c>
      <c r="E11" s="1277">
        <f t="shared" ref="E11:E20" si="0">IFERROR(D11/$D$21,"")</f>
        <v>0.35742596511752539</v>
      </c>
      <c r="F11" s="224">
        <v>435124200</v>
      </c>
      <c r="G11" s="1280">
        <f t="shared" ref="G11:G21" si="1">IFERROR(F11/D11,"")</f>
        <v>0.56039472467487705</v>
      </c>
    </row>
    <row r="12" spans="1:32" x14ac:dyDescent="0.2">
      <c r="A12" s="2547" t="s">
        <v>17</v>
      </c>
      <c r="B12" s="2548" t="s">
        <v>18</v>
      </c>
      <c r="C12" s="223">
        <v>5</v>
      </c>
      <c r="D12" s="224">
        <v>20000000</v>
      </c>
      <c r="E12" s="1277">
        <f t="shared" si="0"/>
        <v>9.2065495467127719E-3</v>
      </c>
      <c r="F12" s="224">
        <v>1000000</v>
      </c>
      <c r="G12" s="1280">
        <f t="shared" si="1"/>
        <v>0.05</v>
      </c>
    </row>
    <row r="13" spans="1:32" x14ac:dyDescent="0.2">
      <c r="A13" s="2547" t="s">
        <v>19</v>
      </c>
      <c r="B13" s="2548" t="s">
        <v>20</v>
      </c>
      <c r="C13" s="223">
        <v>12</v>
      </c>
      <c r="D13" s="224">
        <v>32342000</v>
      </c>
      <c r="E13" s="1277">
        <f t="shared" si="0"/>
        <v>1.4887911271989223E-2</v>
      </c>
      <c r="F13" s="224">
        <v>22453253</v>
      </c>
      <c r="G13" s="1280">
        <f t="shared" si="1"/>
        <v>0.69424441902170553</v>
      </c>
    </row>
    <row r="14" spans="1:32" x14ac:dyDescent="0.2">
      <c r="A14" s="2547" t="s">
        <v>21</v>
      </c>
      <c r="B14" s="2548" t="s">
        <v>22</v>
      </c>
      <c r="C14" s="223">
        <v>200</v>
      </c>
      <c r="D14" s="224">
        <v>754564320</v>
      </c>
      <c r="E14" s="1277">
        <f t="shared" si="0"/>
        <v>0.34734668991308154</v>
      </c>
      <c r="F14" s="224">
        <v>464530000</v>
      </c>
      <c r="G14" s="1280">
        <f t="shared" si="1"/>
        <v>0.61562677652184772</v>
      </c>
    </row>
    <row r="15" spans="1:32" x14ac:dyDescent="0.2">
      <c r="A15" s="2547" t="s">
        <v>23</v>
      </c>
      <c r="B15" s="2548" t="s">
        <v>24</v>
      </c>
      <c r="C15" s="223"/>
      <c r="D15" s="224"/>
      <c r="E15" s="1277">
        <f t="shared" si="0"/>
        <v>0</v>
      </c>
      <c r="F15" s="224"/>
      <c r="G15" s="1280" t="str">
        <f t="shared" si="1"/>
        <v/>
      </c>
    </row>
    <row r="16" spans="1:32" x14ac:dyDescent="0.2">
      <c r="A16" s="2547" t="s">
        <v>25</v>
      </c>
      <c r="B16" s="2548" t="s">
        <v>26</v>
      </c>
      <c r="C16" s="223"/>
      <c r="D16" s="224"/>
      <c r="E16" s="1277">
        <f t="shared" si="0"/>
        <v>0</v>
      </c>
      <c r="F16" s="224"/>
      <c r="G16" s="1280" t="str">
        <f t="shared" si="1"/>
        <v/>
      </c>
    </row>
    <row r="17" spans="1:8" x14ac:dyDescent="0.2">
      <c r="A17" s="2547" t="s">
        <v>27</v>
      </c>
      <c r="B17" s="2548" t="s">
        <v>28</v>
      </c>
      <c r="C17" s="223"/>
      <c r="D17" s="224"/>
      <c r="E17" s="1277">
        <f t="shared" si="0"/>
        <v>0</v>
      </c>
      <c r="F17" s="224"/>
      <c r="G17" s="1280" t="str">
        <f t="shared" si="1"/>
        <v/>
      </c>
    </row>
    <row r="18" spans="1:8" x14ac:dyDescent="0.2">
      <c r="A18" s="2547" t="s">
        <v>29</v>
      </c>
      <c r="B18" s="2548" t="s">
        <v>30</v>
      </c>
      <c r="C18" s="223"/>
      <c r="D18" s="224"/>
      <c r="E18" s="1277">
        <f t="shared" si="0"/>
        <v>0</v>
      </c>
      <c r="F18" s="224"/>
      <c r="G18" s="1280" t="str">
        <f t="shared" si="1"/>
        <v/>
      </c>
    </row>
    <row r="19" spans="1:8" x14ac:dyDescent="0.2">
      <c r="A19" s="2547" t="s">
        <v>31</v>
      </c>
      <c r="B19" s="2548" t="s">
        <v>32</v>
      </c>
      <c r="C19" s="225"/>
      <c r="D19" s="226"/>
      <c r="E19" s="1277">
        <f t="shared" si="0"/>
        <v>0</v>
      </c>
      <c r="F19" s="226"/>
      <c r="G19" s="1280" t="str">
        <f t="shared" si="1"/>
        <v/>
      </c>
    </row>
    <row r="20" spans="1:8" ht="15" thickBot="1" x14ac:dyDescent="0.25">
      <c r="A20" s="2564" t="s">
        <v>33</v>
      </c>
      <c r="B20" s="2565" t="s">
        <v>34</v>
      </c>
      <c r="C20" s="227"/>
      <c r="D20" s="228"/>
      <c r="E20" s="1278">
        <f t="shared" si="0"/>
        <v>0</v>
      </c>
      <c r="F20" s="228"/>
      <c r="G20" s="1281" t="str">
        <f t="shared" si="1"/>
        <v/>
      </c>
      <c r="H20" s="37"/>
    </row>
    <row r="21" spans="1:8" ht="16.5" thickTop="1" thickBot="1" x14ac:dyDescent="0.3">
      <c r="A21" s="2566" t="s">
        <v>35</v>
      </c>
      <c r="B21" s="2567"/>
      <c r="C21" s="38">
        <f>SUM(C10:C20)</f>
        <v>273</v>
      </c>
      <c r="D21" s="39">
        <f>SUM(D10:D20)</f>
        <v>2172366520</v>
      </c>
      <c r="E21" s="1279">
        <f>SUM(E10:E20)</f>
        <v>1</v>
      </c>
      <c r="F21" s="39">
        <f>SUM(F10:F20)</f>
        <v>924307453</v>
      </c>
      <c r="G21" s="1282">
        <f t="shared" si="1"/>
        <v>0.42548411812201931</v>
      </c>
    </row>
    <row r="22" spans="1:8" ht="15.75" thickTop="1" thickBot="1" x14ac:dyDescent="0.25">
      <c r="A22" s="2568" t="s">
        <v>36</v>
      </c>
      <c r="B22" s="2569"/>
      <c r="C22" s="2569"/>
      <c r="D22" s="2569"/>
      <c r="E22" s="2569"/>
      <c r="F22" s="2569"/>
      <c r="G22" s="2569"/>
      <c r="H22" s="37"/>
    </row>
    <row r="23" spans="1:8" ht="15.75" thickTop="1" thickBot="1" x14ac:dyDescent="0.25">
      <c r="A23" s="2570"/>
      <c r="B23" s="2570"/>
      <c r="C23" s="2570"/>
      <c r="D23" s="2570"/>
      <c r="E23" s="2570"/>
      <c r="F23" s="2570"/>
      <c r="G23" s="2570"/>
    </row>
    <row r="24" spans="1:8" ht="27" thickTop="1" thickBot="1" x14ac:dyDescent="0.25">
      <c r="A24" s="2560" t="s">
        <v>37</v>
      </c>
      <c r="B24" s="2561"/>
      <c r="C24" s="35" t="s">
        <v>8</v>
      </c>
      <c r="D24" s="40" t="s">
        <v>9</v>
      </c>
      <c r="E24" s="40" t="s">
        <v>10</v>
      </c>
      <c r="F24" s="35" t="s">
        <v>11</v>
      </c>
      <c r="G24" s="36" t="s">
        <v>12</v>
      </c>
    </row>
    <row r="25" spans="1:8" ht="15" thickTop="1" x14ac:dyDescent="0.2">
      <c r="A25" s="2562" t="s">
        <v>38</v>
      </c>
      <c r="B25" s="2563"/>
      <c r="C25" s="229">
        <v>10</v>
      </c>
      <c r="D25" s="230">
        <v>633441000</v>
      </c>
      <c r="E25" s="1283">
        <f>D25/$D$97</f>
        <v>0.28574470010819886</v>
      </c>
      <c r="F25" s="222">
        <v>80000000</v>
      </c>
      <c r="G25" s="1286">
        <f>IFERROR(F25/D25,"")</f>
        <v>0.12629431943937952</v>
      </c>
    </row>
    <row r="26" spans="1:8" x14ac:dyDescent="0.2">
      <c r="A26" s="2547" t="s">
        <v>39</v>
      </c>
      <c r="B26" s="2548" t="str">
        <f t="shared" ref="B26:B69" si="2">MID(C26,3,70)</f>
        <v/>
      </c>
      <c r="C26" s="231">
        <v>36</v>
      </c>
      <c r="D26" s="222">
        <v>776460200</v>
      </c>
      <c r="E26" s="1284">
        <f t="shared" ref="E26:E89" si="3">D26/$D$97</f>
        <v>0.35026054043699745</v>
      </c>
      <c r="F26" s="224">
        <v>435124200</v>
      </c>
      <c r="G26" s="1287">
        <f>IFERROR(F26/D26,"")</f>
        <v>0.56039472467487705</v>
      </c>
    </row>
    <row r="27" spans="1:8" x14ac:dyDescent="0.2">
      <c r="A27" s="2547" t="s">
        <v>40</v>
      </c>
      <c r="B27" s="2548" t="str">
        <f t="shared" si="2"/>
        <v/>
      </c>
      <c r="C27" s="231">
        <v>5</v>
      </c>
      <c r="D27" s="222">
        <v>20000000</v>
      </c>
      <c r="E27" s="1284">
        <f t="shared" si="3"/>
        <v>9.0219831083936421E-3</v>
      </c>
      <c r="F27" s="224">
        <v>1000000</v>
      </c>
      <c r="G27" s="1287">
        <f t="shared" ref="G27:G90" si="4">IFERROR(F27/D27,"")</f>
        <v>0.05</v>
      </c>
    </row>
    <row r="28" spans="1:8" x14ac:dyDescent="0.2">
      <c r="A28" s="2547" t="s">
        <v>41</v>
      </c>
      <c r="B28" s="2548" t="str">
        <f t="shared" si="2"/>
        <v/>
      </c>
      <c r="C28" s="231">
        <v>12</v>
      </c>
      <c r="D28" s="222">
        <v>32342000</v>
      </c>
      <c r="E28" s="1284">
        <f t="shared" si="3"/>
        <v>1.4589448884583358E-2</v>
      </c>
      <c r="F28" s="224">
        <v>22453253</v>
      </c>
      <c r="G28" s="1287">
        <f t="shared" si="4"/>
        <v>0.69424441902170553</v>
      </c>
    </row>
    <row r="29" spans="1:8" x14ac:dyDescent="0.2">
      <c r="A29" s="2547" t="s">
        <v>42</v>
      </c>
      <c r="B29" s="2548" t="str">
        <f t="shared" si="2"/>
        <v>0</v>
      </c>
      <c r="C29" s="231">
        <v>200</v>
      </c>
      <c r="D29" s="222">
        <v>754564320</v>
      </c>
      <c r="E29" s="1284">
        <f t="shared" si="3"/>
        <v>0.3403833274618267</v>
      </c>
      <c r="F29" s="224">
        <v>464530000</v>
      </c>
      <c r="G29" s="1287">
        <f t="shared" si="4"/>
        <v>0.61562677652184772</v>
      </c>
    </row>
    <row r="30" spans="1:8" x14ac:dyDescent="0.2">
      <c r="A30" s="2547" t="s">
        <v>43</v>
      </c>
      <c r="B30" s="2548" t="str">
        <f t="shared" si="2"/>
        <v/>
      </c>
      <c r="C30" s="231"/>
      <c r="D30" s="222"/>
      <c r="E30" s="1284">
        <f t="shared" si="3"/>
        <v>0</v>
      </c>
      <c r="F30" s="222"/>
      <c r="G30" s="1287" t="str">
        <f t="shared" si="4"/>
        <v/>
      </c>
    </row>
    <row r="31" spans="1:8" x14ac:dyDescent="0.2">
      <c r="A31" s="2547" t="s">
        <v>44</v>
      </c>
      <c r="B31" s="2548" t="str">
        <f t="shared" si="2"/>
        <v/>
      </c>
      <c r="C31" s="231"/>
      <c r="D31" s="222"/>
      <c r="E31" s="1284">
        <f t="shared" si="3"/>
        <v>0</v>
      </c>
      <c r="F31" s="222"/>
      <c r="G31" s="1287" t="str">
        <f t="shared" si="4"/>
        <v/>
      </c>
    </row>
    <row r="32" spans="1:8" x14ac:dyDescent="0.2">
      <c r="A32" s="2547" t="s">
        <v>45</v>
      </c>
      <c r="B32" s="2548" t="str">
        <f t="shared" si="2"/>
        <v/>
      </c>
      <c r="C32" s="231"/>
      <c r="D32" s="222"/>
      <c r="E32" s="1284">
        <f t="shared" si="3"/>
        <v>0</v>
      </c>
      <c r="F32" s="222"/>
      <c r="G32" s="1287" t="str">
        <f t="shared" si="4"/>
        <v/>
      </c>
    </row>
    <row r="33" spans="1:7" x14ac:dyDescent="0.2">
      <c r="A33" s="2547" t="s">
        <v>46</v>
      </c>
      <c r="B33" s="2548" t="str">
        <f t="shared" si="2"/>
        <v/>
      </c>
      <c r="C33" s="231"/>
      <c r="D33" s="222"/>
      <c r="E33" s="1284">
        <f t="shared" si="3"/>
        <v>0</v>
      </c>
      <c r="F33" s="222"/>
      <c r="G33" s="1287" t="str">
        <f t="shared" si="4"/>
        <v/>
      </c>
    </row>
    <row r="34" spans="1:7" x14ac:dyDescent="0.2">
      <c r="A34" s="2547" t="s">
        <v>47</v>
      </c>
      <c r="B34" s="2548" t="str">
        <f t="shared" si="2"/>
        <v/>
      </c>
      <c r="C34" s="231"/>
      <c r="D34" s="222"/>
      <c r="E34" s="1284">
        <f t="shared" si="3"/>
        <v>0</v>
      </c>
      <c r="F34" s="222"/>
      <c r="G34" s="1287" t="str">
        <f t="shared" si="4"/>
        <v/>
      </c>
    </row>
    <row r="35" spans="1:7" x14ac:dyDescent="0.2">
      <c r="A35" s="2547" t="s">
        <v>48</v>
      </c>
      <c r="B35" s="2548" t="str">
        <f t="shared" si="2"/>
        <v/>
      </c>
      <c r="C35" s="231"/>
      <c r="D35" s="222"/>
      <c r="E35" s="1284">
        <f t="shared" si="3"/>
        <v>0</v>
      </c>
      <c r="F35" s="222"/>
      <c r="G35" s="1287" t="str">
        <f t="shared" si="4"/>
        <v/>
      </c>
    </row>
    <row r="36" spans="1:7" x14ac:dyDescent="0.2">
      <c r="A36" s="2547" t="s">
        <v>49</v>
      </c>
      <c r="B36" s="2548" t="str">
        <f t="shared" si="2"/>
        <v/>
      </c>
      <c r="C36" s="231"/>
      <c r="D36" s="222"/>
      <c r="E36" s="1284">
        <f t="shared" si="3"/>
        <v>0</v>
      </c>
      <c r="F36" s="222"/>
      <c r="G36" s="1287" t="str">
        <f t="shared" si="4"/>
        <v/>
      </c>
    </row>
    <row r="37" spans="1:7" x14ac:dyDescent="0.2">
      <c r="A37" s="2547" t="s">
        <v>50</v>
      </c>
      <c r="B37" s="2548" t="str">
        <f t="shared" si="2"/>
        <v/>
      </c>
      <c r="C37" s="231"/>
      <c r="D37" s="222"/>
      <c r="E37" s="1284">
        <f t="shared" si="3"/>
        <v>0</v>
      </c>
      <c r="F37" s="222"/>
      <c r="G37" s="1287" t="str">
        <f t="shared" si="4"/>
        <v/>
      </c>
    </row>
    <row r="38" spans="1:7" x14ac:dyDescent="0.2">
      <c r="A38" s="2547" t="s">
        <v>51</v>
      </c>
      <c r="B38" s="2548" t="str">
        <f t="shared" si="2"/>
        <v/>
      </c>
      <c r="C38" s="231"/>
      <c r="D38" s="222"/>
      <c r="E38" s="1284">
        <f t="shared" si="3"/>
        <v>0</v>
      </c>
      <c r="F38" s="222"/>
      <c r="G38" s="1287" t="str">
        <f t="shared" si="4"/>
        <v/>
      </c>
    </row>
    <row r="39" spans="1:7" x14ac:dyDescent="0.2">
      <c r="A39" s="2547" t="s">
        <v>52</v>
      </c>
      <c r="B39" s="2548" t="str">
        <f t="shared" si="2"/>
        <v/>
      </c>
      <c r="C39" s="231"/>
      <c r="D39" s="222"/>
      <c r="E39" s="1284">
        <f t="shared" si="3"/>
        <v>0</v>
      </c>
      <c r="F39" s="222"/>
      <c r="G39" s="1287" t="str">
        <f t="shared" si="4"/>
        <v/>
      </c>
    </row>
    <row r="40" spans="1:7" x14ac:dyDescent="0.2">
      <c r="A40" s="2547" t="s">
        <v>53</v>
      </c>
      <c r="B40" s="2548" t="str">
        <f t="shared" si="2"/>
        <v/>
      </c>
      <c r="C40" s="231"/>
      <c r="D40" s="222"/>
      <c r="E40" s="1284">
        <f t="shared" si="3"/>
        <v>0</v>
      </c>
      <c r="F40" s="222"/>
      <c r="G40" s="1287" t="str">
        <f t="shared" si="4"/>
        <v/>
      </c>
    </row>
    <row r="41" spans="1:7" x14ac:dyDescent="0.2">
      <c r="A41" s="2547" t="s">
        <v>54</v>
      </c>
      <c r="B41" s="2548" t="str">
        <f t="shared" si="2"/>
        <v/>
      </c>
      <c r="C41" s="231"/>
      <c r="D41" s="222"/>
      <c r="E41" s="1284">
        <f t="shared" si="3"/>
        <v>0</v>
      </c>
      <c r="F41" s="222"/>
      <c r="G41" s="1287" t="str">
        <f t="shared" si="4"/>
        <v/>
      </c>
    </row>
    <row r="42" spans="1:7" x14ac:dyDescent="0.2">
      <c r="A42" s="2547" t="s">
        <v>55</v>
      </c>
      <c r="B42" s="2548" t="str">
        <f t="shared" si="2"/>
        <v/>
      </c>
      <c r="C42" s="231"/>
      <c r="D42" s="222"/>
      <c r="E42" s="1284">
        <f t="shared" si="3"/>
        <v>0</v>
      </c>
      <c r="F42" s="222"/>
      <c r="G42" s="1287" t="str">
        <f t="shared" si="4"/>
        <v/>
      </c>
    </row>
    <row r="43" spans="1:7" x14ac:dyDescent="0.2">
      <c r="A43" s="2547" t="s">
        <v>56</v>
      </c>
      <c r="B43" s="2548" t="str">
        <f t="shared" si="2"/>
        <v/>
      </c>
      <c r="C43" s="231"/>
      <c r="D43" s="222"/>
      <c r="E43" s="1284">
        <f t="shared" si="3"/>
        <v>0</v>
      </c>
      <c r="F43" s="222"/>
      <c r="G43" s="1287" t="str">
        <f t="shared" si="4"/>
        <v/>
      </c>
    </row>
    <row r="44" spans="1:7" x14ac:dyDescent="0.2">
      <c r="A44" s="2547" t="s">
        <v>57</v>
      </c>
      <c r="B44" s="2548" t="str">
        <f t="shared" si="2"/>
        <v/>
      </c>
      <c r="C44" s="231"/>
      <c r="D44" s="222"/>
      <c r="E44" s="1284">
        <f t="shared" si="3"/>
        <v>0</v>
      </c>
      <c r="F44" s="222"/>
      <c r="G44" s="1287" t="str">
        <f t="shared" si="4"/>
        <v/>
      </c>
    </row>
    <row r="45" spans="1:7" x14ac:dyDescent="0.2">
      <c r="A45" s="2547" t="s">
        <v>58</v>
      </c>
      <c r="B45" s="2548" t="str">
        <f t="shared" si="2"/>
        <v/>
      </c>
      <c r="C45" s="231"/>
      <c r="D45" s="222"/>
      <c r="E45" s="1284">
        <f t="shared" si="3"/>
        <v>0</v>
      </c>
      <c r="F45" s="222"/>
      <c r="G45" s="1287" t="str">
        <f t="shared" si="4"/>
        <v/>
      </c>
    </row>
    <row r="46" spans="1:7" x14ac:dyDescent="0.2">
      <c r="A46" s="2547" t="s">
        <v>59</v>
      </c>
      <c r="B46" s="2548" t="str">
        <f t="shared" si="2"/>
        <v/>
      </c>
      <c r="C46" s="231"/>
      <c r="D46" s="222"/>
      <c r="E46" s="1284">
        <f t="shared" si="3"/>
        <v>0</v>
      </c>
      <c r="F46" s="222"/>
      <c r="G46" s="1287" t="str">
        <f t="shared" si="4"/>
        <v/>
      </c>
    </row>
    <row r="47" spans="1:7" x14ac:dyDescent="0.2">
      <c r="A47" s="2547" t="s">
        <v>60</v>
      </c>
      <c r="B47" s="2548" t="str">
        <f t="shared" si="2"/>
        <v/>
      </c>
      <c r="C47" s="231"/>
      <c r="D47" s="222"/>
      <c r="E47" s="1284">
        <f t="shared" si="3"/>
        <v>0</v>
      </c>
      <c r="F47" s="222"/>
      <c r="G47" s="1287" t="str">
        <f t="shared" si="4"/>
        <v/>
      </c>
    </row>
    <row r="48" spans="1:7" x14ac:dyDescent="0.2">
      <c r="A48" s="2547" t="s">
        <v>61</v>
      </c>
      <c r="B48" s="2548" t="str">
        <f t="shared" si="2"/>
        <v/>
      </c>
      <c r="C48" s="231"/>
      <c r="D48" s="222"/>
      <c r="E48" s="1284">
        <f t="shared" si="3"/>
        <v>0</v>
      </c>
      <c r="F48" s="222"/>
      <c r="G48" s="1287" t="str">
        <f t="shared" si="4"/>
        <v/>
      </c>
    </row>
    <row r="49" spans="1:7" x14ac:dyDescent="0.2">
      <c r="A49" s="2547" t="s">
        <v>62</v>
      </c>
      <c r="B49" s="2548" t="str">
        <f t="shared" si="2"/>
        <v/>
      </c>
      <c r="C49" s="231"/>
      <c r="D49" s="222"/>
      <c r="E49" s="1284">
        <f t="shared" si="3"/>
        <v>0</v>
      </c>
      <c r="F49" s="222"/>
      <c r="G49" s="1287" t="str">
        <f t="shared" si="4"/>
        <v/>
      </c>
    </row>
    <row r="50" spans="1:7" x14ac:dyDescent="0.2">
      <c r="A50" s="2547" t="s">
        <v>63</v>
      </c>
      <c r="B50" s="2548" t="str">
        <f t="shared" si="2"/>
        <v/>
      </c>
      <c r="C50" s="231"/>
      <c r="D50" s="222"/>
      <c r="E50" s="1284">
        <f t="shared" si="3"/>
        <v>0</v>
      </c>
      <c r="F50" s="222"/>
      <c r="G50" s="1287" t="str">
        <f t="shared" si="4"/>
        <v/>
      </c>
    </row>
    <row r="51" spans="1:7" x14ac:dyDescent="0.2">
      <c r="A51" s="2547" t="s">
        <v>64</v>
      </c>
      <c r="B51" s="2548" t="str">
        <f t="shared" si="2"/>
        <v/>
      </c>
      <c r="C51" s="231"/>
      <c r="D51" s="222"/>
      <c r="E51" s="1284">
        <f t="shared" si="3"/>
        <v>0</v>
      </c>
      <c r="F51" s="222"/>
      <c r="G51" s="1287" t="str">
        <f t="shared" si="4"/>
        <v/>
      </c>
    </row>
    <row r="52" spans="1:7" x14ac:dyDescent="0.2">
      <c r="A52" s="2547" t="s">
        <v>65</v>
      </c>
      <c r="B52" s="2548" t="str">
        <f t="shared" si="2"/>
        <v/>
      </c>
      <c r="C52" s="231"/>
      <c r="D52" s="222"/>
      <c r="E52" s="1284">
        <f t="shared" si="3"/>
        <v>0</v>
      </c>
      <c r="F52" s="222"/>
      <c r="G52" s="1287" t="str">
        <f t="shared" si="4"/>
        <v/>
      </c>
    </row>
    <row r="53" spans="1:7" x14ac:dyDescent="0.2">
      <c r="A53" s="2547" t="s">
        <v>66</v>
      </c>
      <c r="B53" s="2548" t="str">
        <f t="shared" si="2"/>
        <v/>
      </c>
      <c r="C53" s="231"/>
      <c r="D53" s="222"/>
      <c r="E53" s="1284">
        <f t="shared" si="3"/>
        <v>0</v>
      </c>
      <c r="F53" s="222"/>
      <c r="G53" s="1287" t="str">
        <f t="shared" si="4"/>
        <v/>
      </c>
    </row>
    <row r="54" spans="1:7" x14ac:dyDescent="0.2">
      <c r="A54" s="2547" t="s">
        <v>67</v>
      </c>
      <c r="B54" s="2548" t="str">
        <f t="shared" si="2"/>
        <v/>
      </c>
      <c r="C54" s="231"/>
      <c r="D54" s="222"/>
      <c r="E54" s="1284">
        <f t="shared" si="3"/>
        <v>0</v>
      </c>
      <c r="F54" s="222"/>
      <c r="G54" s="1287" t="str">
        <f t="shared" si="4"/>
        <v/>
      </c>
    </row>
    <row r="55" spans="1:7" x14ac:dyDescent="0.2">
      <c r="A55" s="2547" t="s">
        <v>68</v>
      </c>
      <c r="B55" s="2548" t="str">
        <f t="shared" si="2"/>
        <v/>
      </c>
      <c r="C55" s="231"/>
      <c r="D55" s="222"/>
      <c r="E55" s="1284">
        <f t="shared" si="3"/>
        <v>0</v>
      </c>
      <c r="F55" s="222"/>
      <c r="G55" s="1287" t="str">
        <f t="shared" si="4"/>
        <v/>
      </c>
    </row>
    <row r="56" spans="1:7" x14ac:dyDescent="0.2">
      <c r="A56" s="2547" t="s">
        <v>69</v>
      </c>
      <c r="B56" s="2548" t="str">
        <f t="shared" si="2"/>
        <v/>
      </c>
      <c r="C56" s="231"/>
      <c r="D56" s="222"/>
      <c r="E56" s="1284">
        <f t="shared" si="3"/>
        <v>0</v>
      </c>
      <c r="F56" s="222"/>
      <c r="G56" s="1287" t="str">
        <f t="shared" si="4"/>
        <v/>
      </c>
    </row>
    <row r="57" spans="1:7" x14ac:dyDescent="0.2">
      <c r="A57" s="2547" t="s">
        <v>70</v>
      </c>
      <c r="B57" s="2548" t="str">
        <f t="shared" si="2"/>
        <v/>
      </c>
      <c r="C57" s="231"/>
      <c r="D57" s="222"/>
      <c r="E57" s="1284">
        <f t="shared" si="3"/>
        <v>0</v>
      </c>
      <c r="F57" s="222"/>
      <c r="G57" s="1287" t="str">
        <f t="shared" si="4"/>
        <v/>
      </c>
    </row>
    <row r="58" spans="1:7" x14ac:dyDescent="0.2">
      <c r="A58" s="2547" t="s">
        <v>71</v>
      </c>
      <c r="B58" s="2548" t="str">
        <f t="shared" si="2"/>
        <v/>
      </c>
      <c r="C58" s="231"/>
      <c r="D58" s="222"/>
      <c r="E58" s="1284">
        <f t="shared" si="3"/>
        <v>0</v>
      </c>
      <c r="F58" s="222"/>
      <c r="G58" s="1287" t="str">
        <f t="shared" si="4"/>
        <v/>
      </c>
    </row>
    <row r="59" spans="1:7" x14ac:dyDescent="0.2">
      <c r="A59" s="2547" t="s">
        <v>72</v>
      </c>
      <c r="B59" s="2548" t="str">
        <f t="shared" si="2"/>
        <v/>
      </c>
      <c r="C59" s="231"/>
      <c r="D59" s="222"/>
      <c r="E59" s="1284">
        <f t="shared" si="3"/>
        <v>0</v>
      </c>
      <c r="F59" s="222"/>
      <c r="G59" s="1287" t="str">
        <f t="shared" si="4"/>
        <v/>
      </c>
    </row>
    <row r="60" spans="1:7" x14ac:dyDescent="0.2">
      <c r="A60" s="2547" t="s">
        <v>73</v>
      </c>
      <c r="B60" s="2548" t="str">
        <f t="shared" si="2"/>
        <v/>
      </c>
      <c r="C60" s="231"/>
      <c r="D60" s="222"/>
      <c r="E60" s="1284">
        <f t="shared" si="3"/>
        <v>0</v>
      </c>
      <c r="F60" s="222"/>
      <c r="G60" s="1287" t="str">
        <f t="shared" si="4"/>
        <v/>
      </c>
    </row>
    <row r="61" spans="1:7" x14ac:dyDescent="0.2">
      <c r="A61" s="2547" t="s">
        <v>74</v>
      </c>
      <c r="B61" s="2548" t="str">
        <f t="shared" si="2"/>
        <v/>
      </c>
      <c r="C61" s="231"/>
      <c r="D61" s="222"/>
      <c r="E61" s="1284">
        <f t="shared" si="3"/>
        <v>0</v>
      </c>
      <c r="F61" s="222"/>
      <c r="G61" s="1287" t="str">
        <f t="shared" si="4"/>
        <v/>
      </c>
    </row>
    <row r="62" spans="1:7" x14ac:dyDescent="0.2">
      <c r="A62" s="2547" t="s">
        <v>75</v>
      </c>
      <c r="B62" s="2548" t="str">
        <f t="shared" si="2"/>
        <v/>
      </c>
      <c r="C62" s="231"/>
      <c r="D62" s="222"/>
      <c r="E62" s="1284">
        <f t="shared" si="3"/>
        <v>0</v>
      </c>
      <c r="F62" s="222"/>
      <c r="G62" s="1287" t="str">
        <f t="shared" si="4"/>
        <v/>
      </c>
    </row>
    <row r="63" spans="1:7" x14ac:dyDescent="0.2">
      <c r="A63" s="2547" t="s">
        <v>76</v>
      </c>
      <c r="B63" s="2548" t="str">
        <f t="shared" si="2"/>
        <v/>
      </c>
      <c r="C63" s="231"/>
      <c r="D63" s="222"/>
      <c r="E63" s="1284">
        <f t="shared" si="3"/>
        <v>0</v>
      </c>
      <c r="F63" s="222"/>
      <c r="G63" s="1287" t="str">
        <f t="shared" si="4"/>
        <v/>
      </c>
    </row>
    <row r="64" spans="1:7" x14ac:dyDescent="0.2">
      <c r="A64" s="2547" t="s">
        <v>77</v>
      </c>
      <c r="B64" s="2548" t="str">
        <f t="shared" si="2"/>
        <v/>
      </c>
      <c r="C64" s="231"/>
      <c r="D64" s="222"/>
      <c r="E64" s="1284">
        <f t="shared" si="3"/>
        <v>0</v>
      </c>
      <c r="F64" s="222"/>
      <c r="G64" s="1287" t="str">
        <f t="shared" si="4"/>
        <v/>
      </c>
    </row>
    <row r="65" spans="1:7" x14ac:dyDescent="0.2">
      <c r="A65" s="2547" t="s">
        <v>78</v>
      </c>
      <c r="B65" s="2548" t="str">
        <f t="shared" si="2"/>
        <v/>
      </c>
      <c r="C65" s="231"/>
      <c r="D65" s="222"/>
      <c r="E65" s="1284">
        <f t="shared" si="3"/>
        <v>0</v>
      </c>
      <c r="F65" s="222"/>
      <c r="G65" s="1287" t="str">
        <f t="shared" si="4"/>
        <v/>
      </c>
    </row>
    <row r="66" spans="1:7" x14ac:dyDescent="0.2">
      <c r="A66" s="2547" t="s">
        <v>79</v>
      </c>
      <c r="B66" s="2548" t="str">
        <f t="shared" si="2"/>
        <v/>
      </c>
      <c r="C66" s="231"/>
      <c r="D66" s="222"/>
      <c r="E66" s="1284">
        <f t="shared" si="3"/>
        <v>0</v>
      </c>
      <c r="F66" s="222"/>
      <c r="G66" s="1287" t="str">
        <f t="shared" si="4"/>
        <v/>
      </c>
    </row>
    <row r="67" spans="1:7" x14ac:dyDescent="0.2">
      <c r="A67" s="2547" t="s">
        <v>80</v>
      </c>
      <c r="B67" s="2548" t="str">
        <f t="shared" si="2"/>
        <v/>
      </c>
      <c r="C67" s="231"/>
      <c r="D67" s="222"/>
      <c r="E67" s="1284">
        <f t="shared" si="3"/>
        <v>0</v>
      </c>
      <c r="F67" s="222"/>
      <c r="G67" s="1287" t="str">
        <f t="shared" si="4"/>
        <v/>
      </c>
    </row>
    <row r="68" spans="1:7" x14ac:dyDescent="0.2">
      <c r="A68" s="2547" t="s">
        <v>81</v>
      </c>
      <c r="B68" s="2548" t="str">
        <f t="shared" si="2"/>
        <v/>
      </c>
      <c r="C68" s="231"/>
      <c r="D68" s="222"/>
      <c r="E68" s="1284">
        <f t="shared" si="3"/>
        <v>0</v>
      </c>
      <c r="F68" s="222"/>
      <c r="G68" s="1287" t="str">
        <f t="shared" si="4"/>
        <v/>
      </c>
    </row>
    <row r="69" spans="1:7" x14ac:dyDescent="0.2">
      <c r="A69" s="2547" t="s">
        <v>82</v>
      </c>
      <c r="B69" s="2548" t="str">
        <f t="shared" si="2"/>
        <v/>
      </c>
      <c r="C69" s="231"/>
      <c r="D69" s="222"/>
      <c r="E69" s="1284">
        <f t="shared" si="3"/>
        <v>0</v>
      </c>
      <c r="F69" s="222"/>
      <c r="G69" s="1287" t="str">
        <f t="shared" si="4"/>
        <v/>
      </c>
    </row>
    <row r="70" spans="1:7" x14ac:dyDescent="0.2">
      <c r="A70" s="2547" t="s">
        <v>83</v>
      </c>
      <c r="B70" s="2548" t="str">
        <f>MID(C70,4,70)</f>
        <v/>
      </c>
      <c r="C70" s="231"/>
      <c r="D70" s="222"/>
      <c r="E70" s="1284">
        <f t="shared" si="3"/>
        <v>0</v>
      </c>
      <c r="F70" s="222"/>
      <c r="G70" s="1287" t="str">
        <f t="shared" si="4"/>
        <v/>
      </c>
    </row>
    <row r="71" spans="1:7" x14ac:dyDescent="0.2">
      <c r="A71" s="2547" t="s">
        <v>84</v>
      </c>
      <c r="B71" s="2548" t="str">
        <f t="shared" ref="B71:B96" si="5">MID(C71,4,70)</f>
        <v/>
      </c>
      <c r="C71" s="231"/>
      <c r="D71" s="222"/>
      <c r="E71" s="1284">
        <f t="shared" si="3"/>
        <v>0</v>
      </c>
      <c r="F71" s="222"/>
      <c r="G71" s="1287" t="str">
        <f t="shared" si="4"/>
        <v/>
      </c>
    </row>
    <row r="72" spans="1:7" x14ac:dyDescent="0.2">
      <c r="A72" s="2547" t="s">
        <v>85</v>
      </c>
      <c r="B72" s="2548" t="str">
        <f t="shared" si="5"/>
        <v/>
      </c>
      <c r="C72" s="231"/>
      <c r="D72" s="222"/>
      <c r="E72" s="1284">
        <f t="shared" si="3"/>
        <v>0</v>
      </c>
      <c r="F72" s="222"/>
      <c r="G72" s="1287" t="str">
        <f t="shared" si="4"/>
        <v/>
      </c>
    </row>
    <row r="73" spans="1:7" x14ac:dyDescent="0.2">
      <c r="A73" s="2547" t="s">
        <v>86</v>
      </c>
      <c r="B73" s="2548" t="str">
        <f t="shared" si="5"/>
        <v/>
      </c>
      <c r="C73" s="231"/>
      <c r="D73" s="222"/>
      <c r="E73" s="1284">
        <f t="shared" si="3"/>
        <v>0</v>
      </c>
      <c r="F73" s="222"/>
      <c r="G73" s="1287" t="str">
        <f t="shared" si="4"/>
        <v/>
      </c>
    </row>
    <row r="74" spans="1:7" x14ac:dyDescent="0.2">
      <c r="A74" s="2547" t="s">
        <v>87</v>
      </c>
      <c r="B74" s="2548" t="str">
        <f t="shared" si="5"/>
        <v/>
      </c>
      <c r="C74" s="231"/>
      <c r="D74" s="222"/>
      <c r="E74" s="1284">
        <f t="shared" si="3"/>
        <v>0</v>
      </c>
      <c r="F74" s="222"/>
      <c r="G74" s="1287" t="str">
        <f t="shared" si="4"/>
        <v/>
      </c>
    </row>
    <row r="75" spans="1:7" x14ac:dyDescent="0.2">
      <c r="A75" s="2547" t="s">
        <v>88</v>
      </c>
      <c r="B75" s="2548" t="str">
        <f t="shared" si="5"/>
        <v/>
      </c>
      <c r="C75" s="231"/>
      <c r="D75" s="222"/>
      <c r="E75" s="1284">
        <f t="shared" si="3"/>
        <v>0</v>
      </c>
      <c r="F75" s="222"/>
      <c r="G75" s="1287" t="str">
        <f t="shared" si="4"/>
        <v/>
      </c>
    </row>
    <row r="76" spans="1:7" x14ac:dyDescent="0.2">
      <c r="A76" s="2547" t="s">
        <v>89</v>
      </c>
      <c r="B76" s="2548" t="str">
        <f t="shared" si="5"/>
        <v/>
      </c>
      <c r="C76" s="231"/>
      <c r="D76" s="222"/>
      <c r="E76" s="1284">
        <f t="shared" si="3"/>
        <v>0</v>
      </c>
      <c r="F76" s="222"/>
      <c r="G76" s="1287" t="str">
        <f t="shared" si="4"/>
        <v/>
      </c>
    </row>
    <row r="77" spans="1:7" x14ac:dyDescent="0.2">
      <c r="A77" s="2547" t="s">
        <v>90</v>
      </c>
      <c r="B77" s="2548" t="str">
        <f t="shared" si="5"/>
        <v/>
      </c>
      <c r="C77" s="231"/>
      <c r="D77" s="222"/>
      <c r="E77" s="1284">
        <f t="shared" si="3"/>
        <v>0</v>
      </c>
      <c r="F77" s="222"/>
      <c r="G77" s="1287" t="str">
        <f t="shared" si="4"/>
        <v/>
      </c>
    </row>
    <row r="78" spans="1:7" x14ac:dyDescent="0.2">
      <c r="A78" s="2547" t="s">
        <v>91</v>
      </c>
      <c r="B78" s="2548" t="str">
        <f t="shared" si="5"/>
        <v/>
      </c>
      <c r="C78" s="231"/>
      <c r="D78" s="222"/>
      <c r="E78" s="1284">
        <f t="shared" si="3"/>
        <v>0</v>
      </c>
      <c r="F78" s="222"/>
      <c r="G78" s="1287" t="str">
        <f t="shared" si="4"/>
        <v/>
      </c>
    </row>
    <row r="79" spans="1:7" x14ac:dyDescent="0.2">
      <c r="A79" s="2547" t="s">
        <v>92</v>
      </c>
      <c r="B79" s="2548" t="str">
        <f t="shared" si="5"/>
        <v/>
      </c>
      <c r="C79" s="231"/>
      <c r="D79" s="224"/>
      <c r="E79" s="1284">
        <f t="shared" si="3"/>
        <v>0</v>
      </c>
      <c r="F79" s="224"/>
      <c r="G79" s="1287" t="str">
        <f t="shared" si="4"/>
        <v/>
      </c>
    </row>
    <row r="80" spans="1:7" x14ac:dyDescent="0.2">
      <c r="A80" s="2547" t="s">
        <v>93</v>
      </c>
      <c r="B80" s="2548" t="str">
        <f t="shared" si="5"/>
        <v/>
      </c>
      <c r="C80" s="231"/>
      <c r="D80" s="224"/>
      <c r="E80" s="1284">
        <f t="shared" si="3"/>
        <v>0</v>
      </c>
      <c r="F80" s="224"/>
      <c r="G80" s="1287" t="str">
        <f t="shared" si="4"/>
        <v/>
      </c>
    </row>
    <row r="81" spans="1:7" x14ac:dyDescent="0.2">
      <c r="A81" s="2547" t="s">
        <v>94</v>
      </c>
      <c r="B81" s="2548" t="str">
        <f t="shared" si="5"/>
        <v/>
      </c>
      <c r="C81" s="231"/>
      <c r="D81" s="224"/>
      <c r="E81" s="1284">
        <f t="shared" si="3"/>
        <v>0</v>
      </c>
      <c r="F81" s="224"/>
      <c r="G81" s="1287" t="str">
        <f t="shared" si="4"/>
        <v/>
      </c>
    </row>
    <row r="82" spans="1:7" x14ac:dyDescent="0.2">
      <c r="A82" s="2547" t="s">
        <v>95</v>
      </c>
      <c r="B82" s="2548" t="str">
        <f t="shared" si="5"/>
        <v/>
      </c>
      <c r="C82" s="231"/>
      <c r="D82" s="224"/>
      <c r="E82" s="1284">
        <f t="shared" si="3"/>
        <v>0</v>
      </c>
      <c r="F82" s="224"/>
      <c r="G82" s="1287" t="str">
        <f t="shared" si="4"/>
        <v/>
      </c>
    </row>
    <row r="83" spans="1:7" x14ac:dyDescent="0.2">
      <c r="A83" s="2547" t="s">
        <v>96</v>
      </c>
      <c r="B83" s="2548" t="str">
        <f t="shared" si="5"/>
        <v/>
      </c>
      <c r="C83" s="231"/>
      <c r="D83" s="224"/>
      <c r="E83" s="1284">
        <f t="shared" si="3"/>
        <v>0</v>
      </c>
      <c r="F83" s="224"/>
      <c r="G83" s="1287" t="str">
        <f t="shared" si="4"/>
        <v/>
      </c>
    </row>
    <row r="84" spans="1:7" x14ac:dyDescent="0.2">
      <c r="A84" s="2547" t="s">
        <v>97</v>
      </c>
      <c r="B84" s="2548" t="str">
        <f t="shared" si="5"/>
        <v/>
      </c>
      <c r="C84" s="231"/>
      <c r="D84" s="224"/>
      <c r="E84" s="1284">
        <f t="shared" si="3"/>
        <v>0</v>
      </c>
      <c r="F84" s="224"/>
      <c r="G84" s="1287" t="str">
        <f t="shared" si="4"/>
        <v/>
      </c>
    </row>
    <row r="85" spans="1:7" x14ac:dyDescent="0.2">
      <c r="A85" s="2547" t="s">
        <v>98</v>
      </c>
      <c r="B85" s="2548" t="str">
        <f t="shared" si="5"/>
        <v/>
      </c>
      <c r="C85" s="231"/>
      <c r="D85" s="224"/>
      <c r="E85" s="1284">
        <f t="shared" si="3"/>
        <v>0</v>
      </c>
      <c r="F85" s="224"/>
      <c r="G85" s="1287" t="str">
        <f t="shared" si="4"/>
        <v/>
      </c>
    </row>
    <row r="86" spans="1:7" x14ac:dyDescent="0.2">
      <c r="A86" s="2547" t="s">
        <v>99</v>
      </c>
      <c r="B86" s="2548" t="str">
        <f t="shared" si="5"/>
        <v/>
      </c>
      <c r="C86" s="231"/>
      <c r="D86" s="224"/>
      <c r="E86" s="1284">
        <f t="shared" si="3"/>
        <v>0</v>
      </c>
      <c r="F86" s="224"/>
      <c r="G86" s="1287" t="str">
        <f t="shared" si="4"/>
        <v/>
      </c>
    </row>
    <row r="87" spans="1:7" x14ac:dyDescent="0.2">
      <c r="A87" s="2547" t="s">
        <v>100</v>
      </c>
      <c r="B87" s="2548" t="str">
        <f t="shared" si="5"/>
        <v/>
      </c>
      <c r="C87" s="231"/>
      <c r="D87" s="224"/>
      <c r="E87" s="1284">
        <f t="shared" si="3"/>
        <v>0</v>
      </c>
      <c r="F87" s="224"/>
      <c r="G87" s="1287" t="str">
        <f t="shared" si="4"/>
        <v/>
      </c>
    </row>
    <row r="88" spans="1:7" x14ac:dyDescent="0.2">
      <c r="A88" s="2547" t="s">
        <v>101</v>
      </c>
      <c r="B88" s="2548" t="str">
        <f t="shared" si="5"/>
        <v/>
      </c>
      <c r="C88" s="231"/>
      <c r="D88" s="224"/>
      <c r="E88" s="1284">
        <f t="shared" si="3"/>
        <v>0</v>
      </c>
      <c r="F88" s="224"/>
      <c r="G88" s="1287" t="str">
        <f t="shared" si="4"/>
        <v/>
      </c>
    </row>
    <row r="89" spans="1:7" x14ac:dyDescent="0.2">
      <c r="A89" s="2547" t="s">
        <v>102</v>
      </c>
      <c r="B89" s="2548" t="str">
        <f t="shared" si="5"/>
        <v/>
      </c>
      <c r="C89" s="231"/>
      <c r="D89" s="224"/>
      <c r="E89" s="1284">
        <f t="shared" si="3"/>
        <v>0</v>
      </c>
      <c r="F89" s="224"/>
      <c r="G89" s="1287" t="str">
        <f t="shared" si="4"/>
        <v/>
      </c>
    </row>
    <row r="90" spans="1:7" x14ac:dyDescent="0.2">
      <c r="A90" s="2547" t="s">
        <v>103</v>
      </c>
      <c r="B90" s="2548" t="str">
        <f t="shared" si="5"/>
        <v/>
      </c>
      <c r="C90" s="231"/>
      <c r="D90" s="224"/>
      <c r="E90" s="1284">
        <f t="shared" ref="E90:E96" si="6">D90/$D$97</f>
        <v>0</v>
      </c>
      <c r="F90" s="224"/>
      <c r="G90" s="1287" t="str">
        <f t="shared" si="4"/>
        <v/>
      </c>
    </row>
    <row r="91" spans="1:7" x14ac:dyDescent="0.2">
      <c r="A91" s="2547" t="s">
        <v>104</v>
      </c>
      <c r="B91" s="2548" t="str">
        <f t="shared" si="5"/>
        <v/>
      </c>
      <c r="C91" s="231"/>
      <c r="D91" s="224"/>
      <c r="E91" s="1284">
        <f t="shared" si="6"/>
        <v>0</v>
      </c>
      <c r="F91" s="224"/>
      <c r="G91" s="1287" t="str">
        <f t="shared" ref="G91:G96" si="7">IFERROR(F91/D91,"")</f>
        <v/>
      </c>
    </row>
    <row r="92" spans="1:7" x14ac:dyDescent="0.2">
      <c r="A92" s="2547" t="s">
        <v>105</v>
      </c>
      <c r="B92" s="2548" t="str">
        <f t="shared" si="5"/>
        <v/>
      </c>
      <c r="C92" s="231"/>
      <c r="D92" s="224"/>
      <c r="E92" s="1284">
        <f t="shared" si="6"/>
        <v>0</v>
      </c>
      <c r="F92" s="224"/>
      <c r="G92" s="1287" t="str">
        <f t="shared" si="7"/>
        <v/>
      </c>
    </row>
    <row r="93" spans="1:7" x14ac:dyDescent="0.2">
      <c r="A93" s="2547" t="s">
        <v>106</v>
      </c>
      <c r="B93" s="2548" t="str">
        <f t="shared" si="5"/>
        <v/>
      </c>
      <c r="C93" s="231"/>
      <c r="D93" s="224"/>
      <c r="E93" s="1284">
        <f t="shared" si="6"/>
        <v>0</v>
      </c>
      <c r="F93" s="224"/>
      <c r="G93" s="1287" t="str">
        <f t="shared" si="7"/>
        <v/>
      </c>
    </row>
    <row r="94" spans="1:7" x14ac:dyDescent="0.2">
      <c r="A94" s="2547" t="s">
        <v>107</v>
      </c>
      <c r="B94" s="2548" t="str">
        <f t="shared" si="5"/>
        <v/>
      </c>
      <c r="C94" s="231"/>
      <c r="D94" s="224"/>
      <c r="E94" s="1284">
        <f t="shared" si="6"/>
        <v>0</v>
      </c>
      <c r="F94" s="224"/>
      <c r="G94" s="1287" t="str">
        <f t="shared" si="7"/>
        <v/>
      </c>
    </row>
    <row r="95" spans="1:7" x14ac:dyDescent="0.2">
      <c r="A95" s="2547" t="s">
        <v>108</v>
      </c>
      <c r="B95" s="2548" t="str">
        <f t="shared" si="5"/>
        <v/>
      </c>
      <c r="C95" s="231"/>
      <c r="D95" s="224"/>
      <c r="E95" s="1284">
        <f t="shared" si="6"/>
        <v>0</v>
      </c>
      <c r="F95" s="224"/>
      <c r="G95" s="1287" t="str">
        <f t="shared" si="7"/>
        <v/>
      </c>
    </row>
    <row r="96" spans="1:7" ht="15" thickBot="1" x14ac:dyDescent="0.25">
      <c r="A96" s="2564" t="s">
        <v>109</v>
      </c>
      <c r="B96" s="2565" t="str">
        <f t="shared" si="5"/>
        <v/>
      </c>
      <c r="C96" s="232"/>
      <c r="D96" s="226"/>
      <c r="E96" s="1285">
        <f t="shared" si="6"/>
        <v>0</v>
      </c>
      <c r="F96" s="226"/>
      <c r="G96" s="1288" t="str">
        <f t="shared" si="7"/>
        <v/>
      </c>
    </row>
    <row r="97" spans="1:8" ht="16.5" thickTop="1" thickBot="1" x14ac:dyDescent="0.3">
      <c r="A97" s="2575" t="s">
        <v>35</v>
      </c>
      <c r="B97" s="2576"/>
      <c r="C97" s="1289">
        <f>SUM(C25:C96)</f>
        <v>263</v>
      </c>
      <c r="D97" s="1290">
        <f>SUM(D25:D96)</f>
        <v>2216807520</v>
      </c>
      <c r="E97" s="1291">
        <f>SUM(E25:E96)</f>
        <v>1</v>
      </c>
      <c r="F97" s="1290">
        <f>SUM(F25:F96)</f>
        <v>1003107453</v>
      </c>
      <c r="G97" s="1281">
        <f>IFERROR(F97/D97,"")</f>
        <v>0.45250092484348842</v>
      </c>
    </row>
    <row r="98" spans="1:8" ht="15.75" thickTop="1" thickBot="1" x14ac:dyDescent="0.25">
      <c r="A98" s="2569" t="s">
        <v>110</v>
      </c>
      <c r="B98" s="2569"/>
      <c r="C98" s="2569"/>
      <c r="D98" s="2569"/>
      <c r="E98" s="2569"/>
      <c r="F98" s="2569"/>
      <c r="G98" s="2569"/>
      <c r="H98" s="37"/>
    </row>
    <row r="99" spans="1:8" ht="15.75" thickTop="1" thickBot="1" x14ac:dyDescent="0.25">
      <c r="A99" s="29"/>
      <c r="B99" s="29"/>
      <c r="C99" s="29"/>
      <c r="D99" s="29"/>
      <c r="E99" s="29"/>
      <c r="F99" s="29"/>
      <c r="G99" s="29"/>
    </row>
    <row r="100" spans="1:8" ht="33" customHeight="1" thickTop="1" thickBot="1" x14ac:dyDescent="0.3">
      <c r="A100" s="2580" t="s">
        <v>447</v>
      </c>
      <c r="B100" s="2580"/>
      <c r="C100" s="2581"/>
      <c r="D100" s="29"/>
      <c r="E100" s="2584" t="s">
        <v>460</v>
      </c>
      <c r="F100" s="2585"/>
      <c r="G100" s="2571" t="s">
        <v>1643</v>
      </c>
      <c r="H100" s="2571" t="s">
        <v>113</v>
      </c>
    </row>
    <row r="101" spans="1:8" ht="40.5" customHeight="1" thickTop="1" x14ac:dyDescent="0.2">
      <c r="A101" s="41" t="s">
        <v>111</v>
      </c>
      <c r="B101" s="42" t="s">
        <v>114</v>
      </c>
      <c r="C101" s="43" t="s">
        <v>1642</v>
      </c>
      <c r="D101" s="29"/>
      <c r="E101" s="2586"/>
      <c r="F101" s="2587"/>
      <c r="G101" s="2572"/>
      <c r="H101" s="2572"/>
    </row>
    <row r="102" spans="1:8" ht="14.25" customHeight="1" x14ac:dyDescent="0.2">
      <c r="A102" s="239">
        <v>2022</v>
      </c>
      <c r="B102" s="224">
        <v>350000000</v>
      </c>
      <c r="C102" s="233">
        <v>248900000</v>
      </c>
      <c r="D102" s="29"/>
      <c r="E102" s="2573" t="s">
        <v>115</v>
      </c>
      <c r="F102" s="2574"/>
      <c r="G102" s="236">
        <v>15467000</v>
      </c>
      <c r="H102" s="236">
        <v>8000000</v>
      </c>
    </row>
    <row r="103" spans="1:8" x14ac:dyDescent="0.2">
      <c r="A103" s="239">
        <v>2023</v>
      </c>
      <c r="B103" s="224">
        <v>130000000</v>
      </c>
      <c r="C103" s="233">
        <v>10034000</v>
      </c>
      <c r="D103" s="29"/>
      <c r="E103" s="2573" t="s">
        <v>116</v>
      </c>
      <c r="F103" s="2574"/>
      <c r="G103" s="236">
        <v>4359000000</v>
      </c>
      <c r="H103" s="236">
        <v>4183473000</v>
      </c>
    </row>
    <row r="104" spans="1:8" x14ac:dyDescent="0.2">
      <c r="A104" s="240">
        <v>2024</v>
      </c>
      <c r="B104" s="226">
        <v>458906898</v>
      </c>
      <c r="C104" s="234">
        <v>0</v>
      </c>
      <c r="D104" s="29"/>
      <c r="E104" s="2573" t="s">
        <v>1648</v>
      </c>
      <c r="F104" s="2574"/>
      <c r="G104" s="236">
        <v>158899898</v>
      </c>
      <c r="H104" s="236">
        <v>14656565</v>
      </c>
    </row>
    <row r="105" spans="1:8" ht="15" thickBot="1" x14ac:dyDescent="0.25">
      <c r="A105" s="241" t="s">
        <v>112</v>
      </c>
      <c r="B105" s="228"/>
      <c r="C105" s="235"/>
      <c r="D105" s="29"/>
      <c r="E105" s="2573" t="s">
        <v>1649</v>
      </c>
      <c r="F105" s="2574"/>
      <c r="G105" s="236">
        <v>5565656565</v>
      </c>
      <c r="H105" s="236">
        <v>16565656</v>
      </c>
    </row>
    <row r="106" spans="1:8" ht="16.5" thickTop="1" thickBot="1" x14ac:dyDescent="0.3">
      <c r="A106" s="1292" t="s">
        <v>35</v>
      </c>
      <c r="B106" s="1293">
        <f>SUM(B102:B105)</f>
        <v>938906898</v>
      </c>
      <c r="C106" s="1293">
        <f>SUM(C102:C105)</f>
        <v>258934000</v>
      </c>
      <c r="D106" s="29"/>
      <c r="E106" s="2573" t="s">
        <v>445</v>
      </c>
      <c r="F106" s="2574"/>
      <c r="G106" s="236">
        <v>0</v>
      </c>
      <c r="H106" s="236">
        <v>0</v>
      </c>
    </row>
    <row r="107" spans="1:8" ht="15.75" thickTop="1" thickBot="1" x14ac:dyDescent="0.25">
      <c r="A107" s="29"/>
      <c r="B107" s="29"/>
      <c r="C107" s="29"/>
      <c r="D107" s="29"/>
      <c r="E107" s="2573" t="s">
        <v>440</v>
      </c>
      <c r="F107" s="2574"/>
      <c r="G107" s="236">
        <v>0</v>
      </c>
      <c r="H107" s="236">
        <v>0</v>
      </c>
    </row>
    <row r="108" spans="1:8" ht="28.5" customHeight="1" thickTop="1" thickBot="1" x14ac:dyDescent="0.25">
      <c r="A108" s="2577" t="s">
        <v>446</v>
      </c>
      <c r="B108" s="2578"/>
      <c r="C108" s="2579"/>
      <c r="D108" s="29"/>
      <c r="E108" s="2573" t="s">
        <v>441</v>
      </c>
      <c r="F108" s="2574"/>
      <c r="G108" s="236">
        <v>0</v>
      </c>
      <c r="H108" s="236">
        <v>0</v>
      </c>
    </row>
    <row r="109" spans="1:8" ht="39" customHeight="1" thickTop="1" x14ac:dyDescent="0.2">
      <c r="A109" s="44" t="s">
        <v>111</v>
      </c>
      <c r="B109" s="45" t="s">
        <v>9</v>
      </c>
      <c r="C109" s="45" t="s">
        <v>1644</v>
      </c>
      <c r="D109" s="29"/>
      <c r="E109" s="2582" t="s">
        <v>442</v>
      </c>
      <c r="F109" s="2583"/>
      <c r="G109" s="236">
        <v>5000000000</v>
      </c>
      <c r="H109" s="236">
        <v>3875000000</v>
      </c>
    </row>
    <row r="110" spans="1:8" ht="16.5" customHeight="1" x14ac:dyDescent="0.2">
      <c r="A110" s="239">
        <v>2020</v>
      </c>
      <c r="B110" s="224">
        <v>598959565</v>
      </c>
      <c r="C110" s="238">
        <v>576000000</v>
      </c>
      <c r="D110" s="1064"/>
      <c r="E110" s="2573" t="s">
        <v>443</v>
      </c>
      <c r="F110" s="2574"/>
      <c r="G110" s="236">
        <v>0</v>
      </c>
      <c r="H110" s="237">
        <v>0</v>
      </c>
    </row>
    <row r="111" spans="1:8" ht="15.75" thickBot="1" x14ac:dyDescent="0.25">
      <c r="A111" s="239">
        <v>2021</v>
      </c>
      <c r="B111" s="224">
        <v>1655656565</v>
      </c>
      <c r="C111" s="238">
        <v>1516689898</v>
      </c>
      <c r="D111" s="29"/>
      <c r="E111" s="2609" t="s">
        <v>444</v>
      </c>
      <c r="F111" s="2610"/>
      <c r="G111" s="1294">
        <f>SUM(G102:G110)</f>
        <v>15099023463</v>
      </c>
      <c r="H111" s="1295">
        <f>SUM(H102:H110)</f>
        <v>8097695221</v>
      </c>
    </row>
    <row r="112" spans="1:8" ht="15" thickTop="1" x14ac:dyDescent="0.2">
      <c r="A112" s="239">
        <v>2022</v>
      </c>
      <c r="B112" s="224">
        <v>16465656</v>
      </c>
      <c r="C112" s="238">
        <v>16465656</v>
      </c>
      <c r="D112" s="29"/>
      <c r="E112" s="29"/>
      <c r="F112" s="29"/>
      <c r="G112" s="29"/>
    </row>
    <row r="113" spans="1:7" x14ac:dyDescent="0.2">
      <c r="A113" s="239">
        <v>2023</v>
      </c>
      <c r="B113" s="224">
        <v>565656656</v>
      </c>
      <c r="C113" s="238">
        <v>565454540</v>
      </c>
      <c r="D113" s="1070"/>
      <c r="E113" s="29"/>
      <c r="F113" s="29"/>
      <c r="G113" s="29"/>
    </row>
    <row r="114" spans="1:7" ht="15" thickBot="1" x14ac:dyDescent="0.25">
      <c r="A114" s="1537">
        <v>2024</v>
      </c>
      <c r="B114" s="1538"/>
      <c r="C114" s="1539"/>
      <c r="D114" s="1070"/>
      <c r="E114" s="29"/>
      <c r="F114" s="29"/>
      <c r="G114" s="29"/>
    </row>
    <row r="115" spans="1:7" ht="16.5" thickTop="1" thickBot="1" x14ac:dyDescent="0.25">
      <c r="A115" s="46" t="s">
        <v>444</v>
      </c>
      <c r="B115" s="47">
        <f>SUM(B110:B114)</f>
        <v>2836738442</v>
      </c>
      <c r="C115" s="48">
        <f>SUM(C110:C114)</f>
        <v>2674610094</v>
      </c>
      <c r="D115" s="29"/>
      <c r="E115" s="29"/>
      <c r="F115" s="29"/>
      <c r="G115" s="29"/>
    </row>
    <row r="116" spans="1:7" ht="27.75" customHeight="1" thickTop="1" thickBot="1" x14ac:dyDescent="0.25">
      <c r="A116" s="29"/>
      <c r="B116" s="29"/>
      <c r="C116" s="29"/>
      <c r="D116" s="29"/>
      <c r="E116" s="29"/>
      <c r="F116" s="29"/>
      <c r="G116" s="29"/>
    </row>
    <row r="117" spans="1:7" ht="35.25" customHeight="1" thickTop="1" x14ac:dyDescent="0.2">
      <c r="A117" s="2603" t="s">
        <v>451</v>
      </c>
      <c r="B117" s="2604"/>
      <c r="C117" s="1296" t="s">
        <v>452</v>
      </c>
      <c r="D117" s="1297" t="s">
        <v>1642</v>
      </c>
      <c r="E117" s="1297" t="s">
        <v>1645</v>
      </c>
      <c r="F117" s="29"/>
      <c r="G117" s="29"/>
    </row>
    <row r="118" spans="1:7" ht="24.75" customHeight="1" x14ac:dyDescent="0.2">
      <c r="A118" s="2605" t="s">
        <v>453</v>
      </c>
      <c r="B118" s="2606"/>
      <c r="C118" s="1298">
        <f>D21</f>
        <v>2172366520</v>
      </c>
      <c r="D118" s="1299">
        <f>F21</f>
        <v>924307453</v>
      </c>
      <c r="E118" s="1300">
        <f>+D118/C118</f>
        <v>0.42548411812201931</v>
      </c>
      <c r="F118" s="29"/>
      <c r="G118" s="29"/>
    </row>
    <row r="119" spans="1:7" ht="38.25" customHeight="1" x14ac:dyDescent="0.2">
      <c r="A119" s="2605" t="s">
        <v>448</v>
      </c>
      <c r="B119" s="2606"/>
      <c r="C119" s="1301">
        <f>B106</f>
        <v>938906898</v>
      </c>
      <c r="D119" s="1302">
        <f>C106</f>
        <v>258934000</v>
      </c>
      <c r="E119" s="1300">
        <f>+D119/C119</f>
        <v>0.27578240244220681</v>
      </c>
      <c r="F119" s="29"/>
      <c r="G119" s="29"/>
    </row>
    <row r="120" spans="1:7" ht="43.5" customHeight="1" x14ac:dyDescent="0.2">
      <c r="A120" s="2605" t="s">
        <v>454</v>
      </c>
      <c r="B120" s="2606"/>
      <c r="C120" s="1303">
        <f>+G111</f>
        <v>15099023463</v>
      </c>
      <c r="D120" s="1302">
        <f>H111</f>
        <v>8097695221</v>
      </c>
      <c r="E120" s="1304">
        <f>+D120/C120</f>
        <v>0.53630589030100639</v>
      </c>
      <c r="F120" s="29"/>
      <c r="G120" s="29"/>
    </row>
    <row r="121" spans="1:7" ht="33.75" customHeight="1" thickBot="1" x14ac:dyDescent="0.25">
      <c r="A121" s="2607" t="s">
        <v>455</v>
      </c>
      <c r="B121" s="2608"/>
      <c r="C121" s="1305">
        <f>B115</f>
        <v>2836738442</v>
      </c>
      <c r="D121" s="1306">
        <f>C115</f>
        <v>2674610094</v>
      </c>
      <c r="E121" s="1307">
        <f>+D121/C121</f>
        <v>0.94284691686777655</v>
      </c>
      <c r="F121" s="29"/>
      <c r="G121" s="29"/>
    </row>
    <row r="122" spans="1:7" ht="20.100000000000001" customHeight="1" thickTop="1" thickBot="1" x14ac:dyDescent="0.25">
      <c r="A122" s="2601" t="s">
        <v>35</v>
      </c>
      <c r="B122" s="2602"/>
      <c r="C122" s="1308">
        <f>SUM(C118:C121)</f>
        <v>21047035323</v>
      </c>
      <c r="D122" s="1309">
        <f>SUM(D118:D121)</f>
        <v>11955546768</v>
      </c>
      <c r="E122" s="1310">
        <f>+D122/C122</f>
        <v>0.56803946895718338</v>
      </c>
      <c r="F122" s="29"/>
      <c r="G122" s="29"/>
    </row>
    <row r="123" spans="1:7" ht="15" thickTop="1" x14ac:dyDescent="0.2">
      <c r="A123" s="29"/>
      <c r="B123" s="29"/>
      <c r="C123" s="29"/>
      <c r="D123" s="29"/>
      <c r="E123" s="29"/>
      <c r="F123" s="29"/>
      <c r="G123" s="29"/>
    </row>
    <row r="124" spans="1:7" x14ac:dyDescent="0.2">
      <c r="A124" s="29"/>
      <c r="B124" s="29"/>
      <c r="C124" s="29"/>
      <c r="D124" s="29"/>
      <c r="E124" s="29"/>
      <c r="F124" s="29"/>
      <c r="G124" s="29"/>
    </row>
    <row r="125" spans="1:7" s="29" customFormat="1" ht="15" x14ac:dyDescent="0.25">
      <c r="A125" s="1311" t="s">
        <v>463</v>
      </c>
      <c r="B125" s="2596" t="s">
        <v>464</v>
      </c>
      <c r="C125" s="2596"/>
      <c r="D125" s="1619" t="s">
        <v>466</v>
      </c>
      <c r="E125" s="2599" t="s">
        <v>465</v>
      </c>
      <c r="F125" s="2600"/>
    </row>
    <row r="126" spans="1:7" s="29" customFormat="1" ht="30.6" customHeight="1" x14ac:dyDescent="0.2">
      <c r="A126" s="1312"/>
      <c r="B126" s="2597"/>
      <c r="C126" s="2597"/>
      <c r="D126" s="1422"/>
      <c r="E126" s="2598"/>
      <c r="F126" s="2598"/>
    </row>
    <row r="127" spans="1:7" s="29" customFormat="1" ht="30.6" customHeight="1" x14ac:dyDescent="0.2">
      <c r="A127" s="1312"/>
      <c r="B127" s="2597"/>
      <c r="C127" s="2597"/>
      <c r="D127" s="1422"/>
      <c r="E127" s="2598"/>
      <c r="F127" s="2598"/>
    </row>
    <row r="128" spans="1:7" s="29" customFormat="1" ht="30.6" customHeight="1" x14ac:dyDescent="0.2">
      <c r="A128" s="1312"/>
      <c r="B128" s="2597"/>
      <c r="C128" s="2597"/>
      <c r="D128" s="1422"/>
      <c r="E128" s="2598"/>
      <c r="F128" s="2598"/>
    </row>
    <row r="129" spans="1:7" s="29" customFormat="1" ht="30.6" customHeight="1" x14ac:dyDescent="0.2">
      <c r="A129" s="1312"/>
      <c r="B129" s="2597"/>
      <c r="C129" s="2597"/>
      <c r="D129" s="1422"/>
      <c r="E129" s="2598"/>
      <c r="F129" s="2598"/>
    </row>
    <row r="130" spans="1:7" s="29" customFormat="1" ht="30.6" customHeight="1" x14ac:dyDescent="0.2">
      <c r="A130" s="1312"/>
      <c r="B130" s="2597"/>
      <c r="C130" s="2597"/>
      <c r="D130" s="1422"/>
      <c r="E130" s="2598"/>
      <c r="F130" s="2598"/>
    </row>
    <row r="131" spans="1:7" s="29" customFormat="1" ht="30.6" customHeight="1" x14ac:dyDescent="0.2">
      <c r="A131" s="1312"/>
      <c r="B131" s="2597"/>
      <c r="C131" s="2597"/>
      <c r="D131" s="1422"/>
      <c r="E131" s="2598"/>
      <c r="F131" s="2598"/>
    </row>
    <row r="132" spans="1:7" s="29" customFormat="1" ht="30.6" customHeight="1" x14ac:dyDescent="0.2">
      <c r="A132" s="1312"/>
      <c r="B132" s="2597"/>
      <c r="C132" s="2597"/>
      <c r="D132" s="1422"/>
      <c r="E132" s="2598"/>
      <c r="F132" s="2598"/>
    </row>
    <row r="133" spans="1:7" s="29" customFormat="1" ht="30.6" customHeight="1" x14ac:dyDescent="0.2">
      <c r="A133" s="1312"/>
      <c r="B133" s="2597"/>
      <c r="C133" s="2597"/>
      <c r="D133" s="1422"/>
      <c r="E133" s="2598"/>
      <c r="F133" s="2598"/>
    </row>
    <row r="134" spans="1:7" s="29" customFormat="1" ht="30.6" customHeight="1" x14ac:dyDescent="0.2">
      <c r="A134" s="1312"/>
      <c r="B134" s="2597"/>
      <c r="C134" s="2597"/>
      <c r="D134" s="1422"/>
      <c r="E134" s="2598"/>
      <c r="F134" s="2598"/>
    </row>
    <row r="135" spans="1:7" ht="30.6" customHeight="1" x14ac:dyDescent="0.2">
      <c r="A135" s="33"/>
      <c r="B135" s="2597"/>
      <c r="C135" s="2597"/>
      <c r="D135" s="1422"/>
      <c r="E135" s="2598"/>
      <c r="F135" s="2598"/>
      <c r="G135" s="29"/>
    </row>
    <row r="136" spans="1:7" ht="15" thickBot="1" x14ac:dyDescent="0.25">
      <c r="A136" s="33"/>
      <c r="B136" s="33"/>
      <c r="C136" s="33"/>
      <c r="D136" s="51"/>
      <c r="E136" s="33"/>
      <c r="F136" s="29"/>
      <c r="G136" s="29"/>
    </row>
    <row r="137" spans="1:7" ht="18.75" customHeight="1" x14ac:dyDescent="0.25">
      <c r="A137" s="1311" t="s">
        <v>117</v>
      </c>
      <c r="B137" s="2588" t="s">
        <v>464</v>
      </c>
      <c r="C137" s="2589"/>
      <c r="D137" s="2592" t="s">
        <v>465</v>
      </c>
      <c r="E137" s="2593"/>
      <c r="F137" s="29"/>
      <c r="G137" s="29"/>
    </row>
    <row r="138" spans="1:7" ht="35.450000000000003" customHeight="1" thickBot="1" x14ac:dyDescent="0.25">
      <c r="A138" s="33"/>
      <c r="B138" s="2590"/>
      <c r="C138" s="2591"/>
      <c r="D138" s="2594"/>
      <c r="E138" s="2595"/>
      <c r="F138" s="29"/>
      <c r="G138" s="29"/>
    </row>
    <row r="139" spans="1:7" x14ac:dyDescent="0.2">
      <c r="A139" s="29"/>
      <c r="B139" s="29"/>
      <c r="C139" s="29"/>
      <c r="D139" s="29"/>
      <c r="E139" s="29"/>
      <c r="F139" s="29"/>
      <c r="G139" s="29"/>
    </row>
    <row r="140" spans="1:7" x14ac:dyDescent="0.2">
      <c r="A140" s="29"/>
      <c r="B140" s="29"/>
      <c r="C140" s="29"/>
      <c r="D140" s="29"/>
      <c r="E140" s="29"/>
      <c r="F140" s="29"/>
      <c r="G140" s="29"/>
    </row>
    <row r="141" spans="1:7" x14ac:dyDescent="0.2">
      <c r="A141" s="29"/>
      <c r="B141" s="29"/>
      <c r="C141" s="29"/>
      <c r="D141" s="29"/>
      <c r="E141" s="29"/>
      <c r="F141" s="29"/>
      <c r="G141" s="29"/>
    </row>
    <row r="142" spans="1:7" x14ac:dyDescent="0.2">
      <c r="A142" s="29"/>
      <c r="B142" s="29"/>
      <c r="C142" s="29"/>
      <c r="D142" s="29"/>
      <c r="E142" s="29"/>
      <c r="F142" s="29"/>
      <c r="G142" s="29"/>
    </row>
    <row r="143" spans="1:7" x14ac:dyDescent="0.2">
      <c r="A143" s="29"/>
      <c r="B143" s="29"/>
      <c r="C143" s="29"/>
      <c r="D143" s="29"/>
      <c r="E143" s="29"/>
      <c r="F143" s="29"/>
      <c r="G143" s="29"/>
    </row>
    <row r="144" spans="1:7" x14ac:dyDescent="0.2">
      <c r="A144" s="29"/>
      <c r="B144" s="29"/>
      <c r="C144" s="29"/>
      <c r="D144" s="29"/>
      <c r="E144" s="29"/>
      <c r="F144" s="29"/>
      <c r="G144" s="29"/>
    </row>
    <row r="145" spans="1:7" x14ac:dyDescent="0.2">
      <c r="A145" s="29"/>
      <c r="B145" s="29"/>
      <c r="C145" s="29"/>
      <c r="D145" s="29"/>
      <c r="E145" s="29"/>
      <c r="F145" s="29"/>
      <c r="G145" s="29"/>
    </row>
    <row r="146" spans="1:7" x14ac:dyDescent="0.2">
      <c r="A146" s="29"/>
      <c r="B146" s="29"/>
      <c r="C146" s="29"/>
      <c r="D146" s="29"/>
      <c r="E146" s="29"/>
      <c r="F146" s="29"/>
      <c r="G146" s="29"/>
    </row>
    <row r="147" spans="1:7" x14ac:dyDescent="0.2">
      <c r="A147" s="29"/>
      <c r="B147" s="29"/>
      <c r="C147" s="29"/>
      <c r="D147" s="29"/>
      <c r="E147" s="29"/>
      <c r="F147" s="29"/>
      <c r="G147" s="29"/>
    </row>
    <row r="148" spans="1:7" x14ac:dyDescent="0.2">
      <c r="A148" s="29"/>
      <c r="B148" s="29"/>
      <c r="C148" s="29"/>
      <c r="D148" s="29"/>
      <c r="E148" s="29"/>
      <c r="F148" s="29"/>
      <c r="G148" s="29"/>
    </row>
    <row r="149" spans="1:7" x14ac:dyDescent="0.2">
      <c r="A149" s="29"/>
      <c r="B149" s="29"/>
      <c r="C149" s="29"/>
      <c r="D149" s="29"/>
      <c r="E149" s="29"/>
      <c r="F149" s="29"/>
      <c r="G149" s="29"/>
    </row>
    <row r="150" spans="1:7" x14ac:dyDescent="0.2">
      <c r="A150" s="29"/>
      <c r="B150" s="29"/>
      <c r="C150" s="29"/>
      <c r="D150" s="29"/>
      <c r="E150" s="29"/>
      <c r="F150" s="29"/>
      <c r="G150" s="29"/>
    </row>
    <row r="151" spans="1:7" x14ac:dyDescent="0.2">
      <c r="A151" s="29"/>
      <c r="B151" s="29"/>
      <c r="C151" s="29"/>
      <c r="D151" s="29"/>
      <c r="E151" s="29"/>
      <c r="F151" s="29"/>
      <c r="G151" s="29"/>
    </row>
    <row r="152" spans="1:7" x14ac:dyDescent="0.2">
      <c r="A152" s="29"/>
      <c r="B152" s="29"/>
      <c r="C152" s="29"/>
      <c r="D152" s="29"/>
      <c r="E152" s="29"/>
      <c r="F152" s="29"/>
      <c r="G152" s="29"/>
    </row>
    <row r="153" spans="1:7" x14ac:dyDescent="0.2">
      <c r="A153" s="29"/>
      <c r="B153" s="29"/>
      <c r="C153" s="29"/>
      <c r="D153" s="29"/>
      <c r="E153" s="29"/>
      <c r="F153" s="29"/>
      <c r="G153" s="29"/>
    </row>
    <row r="154" spans="1:7" x14ac:dyDescent="0.2">
      <c r="A154" s="29"/>
      <c r="B154" s="29"/>
      <c r="C154" s="29"/>
      <c r="D154" s="29"/>
      <c r="E154" s="29"/>
      <c r="F154" s="29"/>
      <c r="G154" s="29"/>
    </row>
    <row r="155" spans="1:7" x14ac:dyDescent="0.2">
      <c r="A155" s="29"/>
      <c r="B155" s="29"/>
      <c r="C155" s="29"/>
      <c r="D155" s="29"/>
      <c r="E155" s="29"/>
      <c r="F155" s="29"/>
      <c r="G155" s="29"/>
    </row>
    <row r="156" spans="1:7" x14ac:dyDescent="0.2">
      <c r="A156" s="29"/>
      <c r="B156" s="29"/>
      <c r="C156" s="29"/>
      <c r="D156" s="29"/>
      <c r="E156" s="29"/>
      <c r="F156" s="29"/>
      <c r="G156" s="29"/>
    </row>
    <row r="157" spans="1:7" x14ac:dyDescent="0.2">
      <c r="A157" s="29"/>
      <c r="B157" s="29"/>
      <c r="C157" s="29"/>
      <c r="D157" s="29"/>
      <c r="E157" s="29"/>
      <c r="F157" s="29"/>
      <c r="G157" s="29"/>
    </row>
    <row r="158" spans="1:7" x14ac:dyDescent="0.2">
      <c r="A158" s="29"/>
      <c r="B158" s="29"/>
      <c r="C158" s="29"/>
      <c r="D158" s="29"/>
      <c r="E158" s="29"/>
      <c r="F158" s="29"/>
      <c r="G158" s="29"/>
    </row>
    <row r="159" spans="1:7" x14ac:dyDescent="0.2">
      <c r="A159" s="29"/>
      <c r="B159" s="29"/>
      <c r="C159" s="29"/>
      <c r="D159" s="29"/>
      <c r="E159" s="29"/>
      <c r="F159" s="29"/>
      <c r="G159" s="29"/>
    </row>
    <row r="160" spans="1:7" x14ac:dyDescent="0.2">
      <c r="A160" s="29"/>
      <c r="B160" s="29"/>
      <c r="C160" s="29"/>
      <c r="D160" s="29"/>
      <c r="E160" s="29"/>
      <c r="F160" s="29"/>
      <c r="G160" s="29"/>
    </row>
    <row r="161" spans="1:7" x14ac:dyDescent="0.2">
      <c r="A161" s="29"/>
      <c r="B161" s="29"/>
      <c r="C161" s="29"/>
      <c r="D161" s="29"/>
      <c r="E161" s="29"/>
      <c r="F161" s="29"/>
      <c r="G161" s="29"/>
    </row>
    <row r="162" spans="1:7" x14ac:dyDescent="0.2">
      <c r="A162" s="29"/>
      <c r="B162" s="29"/>
      <c r="C162" s="29"/>
      <c r="D162" s="29"/>
      <c r="E162" s="29"/>
      <c r="F162" s="29"/>
      <c r="G162" s="29"/>
    </row>
    <row r="163" spans="1:7" x14ac:dyDescent="0.2">
      <c r="A163" s="29"/>
      <c r="B163" s="29"/>
      <c r="C163" s="29"/>
      <c r="D163" s="29"/>
      <c r="E163" s="29"/>
      <c r="F163" s="29"/>
      <c r="G163" s="29"/>
    </row>
    <row r="164" spans="1:7" x14ac:dyDescent="0.2">
      <c r="A164" s="29"/>
      <c r="B164" s="29"/>
      <c r="C164" s="29"/>
      <c r="D164" s="29"/>
      <c r="E164" s="29"/>
      <c r="F164" s="29"/>
      <c r="G164" s="29"/>
    </row>
    <row r="165" spans="1:7" x14ac:dyDescent="0.2">
      <c r="A165" s="29"/>
      <c r="B165" s="29"/>
      <c r="C165" s="29"/>
      <c r="D165" s="29"/>
      <c r="E165" s="29"/>
      <c r="F165" s="29"/>
      <c r="G165" s="29"/>
    </row>
    <row r="166" spans="1:7" x14ac:dyDescent="0.2">
      <c r="A166" s="29"/>
      <c r="B166" s="29"/>
      <c r="C166" s="29"/>
      <c r="D166" s="29"/>
      <c r="E166" s="29"/>
      <c r="F166" s="29"/>
      <c r="G166" s="29"/>
    </row>
    <row r="167" spans="1:7" x14ac:dyDescent="0.2">
      <c r="A167" s="29"/>
      <c r="B167" s="29"/>
      <c r="C167" s="29"/>
      <c r="D167" s="29"/>
      <c r="E167" s="29"/>
      <c r="F167" s="29"/>
      <c r="G167" s="29"/>
    </row>
    <row r="168" spans="1:7" x14ac:dyDescent="0.2">
      <c r="A168" s="29"/>
      <c r="B168" s="29"/>
      <c r="C168" s="29"/>
      <c r="D168" s="29"/>
      <c r="E168" s="29"/>
      <c r="F168" s="29"/>
      <c r="G168" s="29"/>
    </row>
    <row r="169" spans="1:7" x14ac:dyDescent="0.2">
      <c r="A169" s="29"/>
      <c r="B169" s="29"/>
      <c r="C169" s="29"/>
      <c r="D169" s="29"/>
      <c r="E169" s="29"/>
      <c r="F169" s="29"/>
      <c r="G169" s="29"/>
    </row>
    <row r="170" spans="1:7" x14ac:dyDescent="0.2">
      <c r="A170" s="29"/>
      <c r="B170" s="29"/>
      <c r="C170" s="29"/>
      <c r="D170" s="29"/>
      <c r="E170" s="29"/>
      <c r="F170" s="29"/>
      <c r="G170" s="29"/>
    </row>
    <row r="171" spans="1:7" x14ac:dyDescent="0.2">
      <c r="A171" s="29"/>
      <c r="B171" s="29"/>
      <c r="C171" s="29"/>
      <c r="D171" s="29"/>
      <c r="E171" s="29"/>
      <c r="F171" s="29"/>
      <c r="G171" s="29"/>
    </row>
    <row r="172" spans="1:7" x14ac:dyDescent="0.2">
      <c r="A172" s="29"/>
      <c r="B172" s="29"/>
      <c r="C172" s="29"/>
      <c r="D172" s="29"/>
      <c r="E172" s="29"/>
      <c r="F172" s="29"/>
      <c r="G172" s="29"/>
    </row>
    <row r="173" spans="1:7" x14ac:dyDescent="0.2">
      <c r="A173" s="29"/>
      <c r="B173" s="29"/>
      <c r="C173" s="29"/>
      <c r="D173" s="29"/>
      <c r="E173" s="29"/>
      <c r="F173" s="29"/>
      <c r="G173" s="29"/>
    </row>
    <row r="174" spans="1:7" x14ac:dyDescent="0.2">
      <c r="A174" s="29"/>
      <c r="B174" s="29"/>
      <c r="C174" s="29"/>
      <c r="D174" s="29"/>
      <c r="E174" s="29"/>
      <c r="F174" s="29"/>
      <c r="G174" s="29"/>
    </row>
    <row r="175" spans="1:7" x14ac:dyDescent="0.2">
      <c r="A175" s="29"/>
      <c r="B175" s="29"/>
      <c r="C175" s="29"/>
      <c r="D175" s="29"/>
      <c r="E175" s="29"/>
      <c r="F175" s="29"/>
      <c r="G175" s="29"/>
    </row>
    <row r="176" spans="1:7" x14ac:dyDescent="0.2">
      <c r="A176" s="29"/>
      <c r="B176" s="29"/>
      <c r="C176" s="29"/>
      <c r="D176" s="29"/>
      <c r="E176" s="29"/>
      <c r="F176" s="29"/>
      <c r="G176" s="29"/>
    </row>
    <row r="177" spans="1:7" x14ac:dyDescent="0.2">
      <c r="A177" s="29"/>
      <c r="B177" s="29"/>
      <c r="C177" s="29"/>
      <c r="D177" s="29"/>
      <c r="E177" s="29"/>
      <c r="F177" s="29"/>
      <c r="G177" s="29"/>
    </row>
    <row r="178" spans="1:7" x14ac:dyDescent="0.2">
      <c r="A178" s="29"/>
      <c r="B178" s="29"/>
      <c r="C178" s="29"/>
      <c r="D178" s="29"/>
      <c r="E178" s="29"/>
      <c r="F178" s="29"/>
      <c r="G178" s="29"/>
    </row>
    <row r="179" spans="1:7" x14ac:dyDescent="0.2">
      <c r="A179" s="29"/>
      <c r="B179" s="29"/>
      <c r="C179" s="29"/>
      <c r="D179" s="29"/>
      <c r="E179" s="29"/>
      <c r="F179" s="29"/>
      <c r="G179" s="29"/>
    </row>
    <row r="180" spans="1:7" x14ac:dyDescent="0.2">
      <c r="A180" s="29"/>
      <c r="B180" s="29"/>
      <c r="C180" s="29"/>
      <c r="D180" s="29"/>
      <c r="E180" s="29"/>
      <c r="F180" s="29"/>
      <c r="G180" s="29"/>
    </row>
    <row r="181" spans="1:7" x14ac:dyDescent="0.2">
      <c r="A181" s="29"/>
      <c r="B181" s="29"/>
      <c r="C181" s="29"/>
      <c r="D181" s="29"/>
      <c r="E181" s="29"/>
      <c r="F181" s="29"/>
      <c r="G181" s="29"/>
    </row>
    <row r="182" spans="1:7" x14ac:dyDescent="0.2">
      <c r="A182" s="29"/>
      <c r="B182" s="29"/>
      <c r="C182" s="29"/>
      <c r="D182" s="29"/>
      <c r="E182" s="29"/>
      <c r="F182" s="29"/>
      <c r="G182" s="29"/>
    </row>
    <row r="183" spans="1:7" x14ac:dyDescent="0.2">
      <c r="A183" s="29"/>
      <c r="B183" s="29"/>
      <c r="C183" s="29"/>
      <c r="D183" s="29"/>
      <c r="E183" s="29"/>
      <c r="F183" s="29"/>
      <c r="G183" s="29"/>
    </row>
    <row r="184" spans="1:7" x14ac:dyDescent="0.2">
      <c r="A184" s="29"/>
      <c r="B184" s="29"/>
      <c r="C184" s="29"/>
      <c r="D184" s="29"/>
      <c r="E184" s="29"/>
      <c r="F184" s="29"/>
      <c r="G184" s="29"/>
    </row>
    <row r="185" spans="1:7" x14ac:dyDescent="0.2">
      <c r="A185" s="29"/>
      <c r="B185" s="29"/>
      <c r="C185" s="29"/>
      <c r="D185" s="29"/>
      <c r="E185" s="29"/>
      <c r="F185" s="29"/>
      <c r="G185" s="29"/>
    </row>
    <row r="186" spans="1:7" x14ac:dyDescent="0.2">
      <c r="A186" s="29"/>
      <c r="B186" s="29"/>
      <c r="C186" s="29"/>
      <c r="D186" s="29"/>
      <c r="E186" s="29"/>
      <c r="F186" s="29"/>
      <c r="G186" s="29"/>
    </row>
    <row r="187" spans="1:7" x14ac:dyDescent="0.2">
      <c r="A187" s="29"/>
      <c r="B187" s="29"/>
      <c r="C187" s="29"/>
      <c r="D187" s="29"/>
      <c r="E187" s="29"/>
      <c r="F187" s="29"/>
      <c r="G187" s="29"/>
    </row>
    <row r="188" spans="1:7" x14ac:dyDescent="0.2">
      <c r="A188" s="29"/>
      <c r="B188" s="29"/>
      <c r="C188" s="29"/>
      <c r="D188" s="29"/>
      <c r="E188" s="29"/>
      <c r="F188" s="29"/>
      <c r="G188" s="29"/>
    </row>
    <row r="189" spans="1:7" x14ac:dyDescent="0.2">
      <c r="A189" s="29"/>
      <c r="B189" s="29"/>
      <c r="C189" s="29"/>
      <c r="D189" s="29"/>
      <c r="E189" s="29"/>
      <c r="F189" s="29"/>
      <c r="G189" s="29"/>
    </row>
    <row r="190" spans="1:7" x14ac:dyDescent="0.2">
      <c r="A190" s="29"/>
      <c r="B190" s="29"/>
      <c r="C190" s="29"/>
      <c r="D190" s="29"/>
      <c r="E190" s="29"/>
      <c r="F190" s="29"/>
      <c r="G190" s="29"/>
    </row>
    <row r="191" spans="1:7" x14ac:dyDescent="0.2">
      <c r="A191" s="29"/>
      <c r="B191" s="29"/>
      <c r="C191" s="29"/>
      <c r="D191" s="29"/>
      <c r="E191" s="29"/>
      <c r="F191" s="29"/>
      <c r="G191" s="29"/>
    </row>
    <row r="192" spans="1:7" x14ac:dyDescent="0.2">
      <c r="A192" s="29"/>
      <c r="B192" s="29"/>
      <c r="C192" s="29"/>
      <c r="D192" s="29"/>
      <c r="E192" s="29"/>
      <c r="F192" s="29"/>
      <c r="G192" s="29"/>
    </row>
    <row r="193" spans="1:7" x14ac:dyDescent="0.2">
      <c r="A193" s="29"/>
      <c r="B193" s="29"/>
      <c r="C193" s="29"/>
      <c r="D193" s="29"/>
      <c r="E193" s="29"/>
      <c r="F193" s="29"/>
      <c r="G193" s="29"/>
    </row>
    <row r="194" spans="1:7" x14ac:dyDescent="0.2">
      <c r="A194" s="29"/>
      <c r="B194" s="29"/>
      <c r="C194" s="29"/>
      <c r="D194" s="29"/>
      <c r="E194" s="29"/>
      <c r="F194" s="29"/>
      <c r="G194" s="29"/>
    </row>
    <row r="195" spans="1:7" x14ac:dyDescent="0.2">
      <c r="A195" s="29"/>
      <c r="B195" s="29"/>
      <c r="C195" s="29"/>
      <c r="D195" s="29"/>
      <c r="E195" s="29"/>
      <c r="F195" s="29"/>
      <c r="G195" s="29"/>
    </row>
    <row r="196" spans="1:7" x14ac:dyDescent="0.2">
      <c r="A196" s="29"/>
      <c r="B196" s="29"/>
      <c r="C196" s="29"/>
      <c r="D196" s="29"/>
      <c r="E196" s="29"/>
      <c r="F196" s="29"/>
      <c r="G196" s="29"/>
    </row>
    <row r="197" spans="1:7" x14ac:dyDescent="0.2">
      <c r="A197" s="29"/>
      <c r="B197" s="29"/>
      <c r="C197" s="29"/>
      <c r="D197" s="29"/>
      <c r="E197" s="29"/>
      <c r="F197" s="29"/>
      <c r="G197" s="29"/>
    </row>
    <row r="198" spans="1:7" x14ac:dyDescent="0.2">
      <c r="A198" s="29"/>
      <c r="B198" s="29"/>
      <c r="C198" s="29"/>
      <c r="D198" s="29"/>
      <c r="E198" s="29"/>
      <c r="F198" s="29"/>
      <c r="G198" s="29"/>
    </row>
    <row r="199" spans="1:7" x14ac:dyDescent="0.2">
      <c r="A199" s="29"/>
      <c r="B199" s="29"/>
      <c r="C199" s="29"/>
      <c r="D199" s="29"/>
      <c r="E199" s="29"/>
      <c r="F199" s="29"/>
      <c r="G199" s="29"/>
    </row>
    <row r="200" spans="1:7" x14ac:dyDescent="0.2">
      <c r="A200" s="29"/>
      <c r="B200" s="29"/>
      <c r="C200" s="29"/>
      <c r="D200" s="29"/>
      <c r="E200" s="29"/>
      <c r="F200" s="29"/>
      <c r="G200" s="29"/>
    </row>
    <row r="201" spans="1:7" x14ac:dyDescent="0.2">
      <c r="A201" s="29"/>
      <c r="B201" s="29"/>
      <c r="C201" s="29"/>
      <c r="D201" s="29"/>
      <c r="E201" s="29"/>
      <c r="F201" s="29"/>
      <c r="G201" s="29"/>
    </row>
    <row r="202" spans="1:7" x14ac:dyDescent="0.2">
      <c r="A202" s="29"/>
      <c r="B202" s="29"/>
      <c r="C202" s="29"/>
      <c r="D202" s="29"/>
      <c r="E202" s="29"/>
      <c r="F202" s="29"/>
      <c r="G202" s="29"/>
    </row>
    <row r="203" spans="1:7" x14ac:dyDescent="0.2">
      <c r="A203" s="29"/>
      <c r="B203" s="29"/>
      <c r="C203" s="29"/>
      <c r="D203" s="29"/>
      <c r="E203" s="29"/>
      <c r="F203" s="29"/>
      <c r="G203" s="29"/>
    </row>
    <row r="204" spans="1:7" x14ac:dyDescent="0.2">
      <c r="A204" s="29"/>
      <c r="B204" s="29"/>
      <c r="C204" s="29"/>
      <c r="D204" s="29"/>
      <c r="E204" s="29"/>
      <c r="F204" s="29"/>
      <c r="G204" s="29"/>
    </row>
  </sheetData>
  <sheetProtection algorithmName="SHA-512" hashValue="RanY6dSdmBErKgqvrqivUDKyRGLOAFC0wkBD49S1LZMo7BDvkPwSB3iFfeI4ZiO3jJ8RZkKXWpjICZWRWnF2OA==" saltValue="FD3CCtvGzYu9dIFO4wEXUw==" spinCount="100000" sheet="1" formatRows="0" insertRows="0" pivotTables="0"/>
  <mergeCells count="144">
    <mergeCell ref="E134:F134"/>
    <mergeCell ref="E125:F125"/>
    <mergeCell ref="A122:B122"/>
    <mergeCell ref="E106:F106"/>
    <mergeCell ref="A117:B117"/>
    <mergeCell ref="A118:B118"/>
    <mergeCell ref="A119:B119"/>
    <mergeCell ref="A120:B120"/>
    <mergeCell ref="A121:B121"/>
    <mergeCell ref="E111:F111"/>
    <mergeCell ref="B137:C137"/>
    <mergeCell ref="B138:C138"/>
    <mergeCell ref="D137:E137"/>
    <mergeCell ref="D138:E138"/>
    <mergeCell ref="B125:C125"/>
    <mergeCell ref="B126:C126"/>
    <mergeCell ref="B133:C133"/>
    <mergeCell ref="B134:C134"/>
    <mergeCell ref="B135:C135"/>
    <mergeCell ref="B127:C127"/>
    <mergeCell ref="B128:C128"/>
    <mergeCell ref="B131:C131"/>
    <mergeCell ref="B132:C132"/>
    <mergeCell ref="B129:C129"/>
    <mergeCell ref="B130:C130"/>
    <mergeCell ref="E126:F126"/>
    <mergeCell ref="E127:F127"/>
    <mergeCell ref="E128:F128"/>
    <mergeCell ref="E129:F129"/>
    <mergeCell ref="E130:F130"/>
    <mergeCell ref="E131:F131"/>
    <mergeCell ref="E132:F132"/>
    <mergeCell ref="E133:F133"/>
    <mergeCell ref="E135:F135"/>
    <mergeCell ref="A88:B88"/>
    <mergeCell ref="A89:B89"/>
    <mergeCell ref="E107:F107"/>
    <mergeCell ref="E108:F108"/>
    <mergeCell ref="E110:F110"/>
    <mergeCell ref="A96:B96"/>
    <mergeCell ref="A97:B97"/>
    <mergeCell ref="A90:B90"/>
    <mergeCell ref="A91:B91"/>
    <mergeCell ref="A92:B92"/>
    <mergeCell ref="A93:B93"/>
    <mergeCell ref="A94:B94"/>
    <mergeCell ref="A95:B95"/>
    <mergeCell ref="A108:C108"/>
    <mergeCell ref="A100:C100"/>
    <mergeCell ref="E102:F102"/>
    <mergeCell ref="E109:F109"/>
    <mergeCell ref="E103:F103"/>
    <mergeCell ref="E104:F104"/>
    <mergeCell ref="E105:F105"/>
    <mergeCell ref="A98:G98"/>
    <mergeCell ref="E100:F101"/>
    <mergeCell ref="H100:H101"/>
    <mergeCell ref="A66:B66"/>
    <mergeCell ref="A67:B67"/>
    <mergeCell ref="A68:B68"/>
    <mergeCell ref="A69:B69"/>
    <mergeCell ref="A70:B70"/>
    <mergeCell ref="A71:B71"/>
    <mergeCell ref="A78:B78"/>
    <mergeCell ref="A79:B79"/>
    <mergeCell ref="A80:B80"/>
    <mergeCell ref="G100:G101"/>
    <mergeCell ref="A83:B83"/>
    <mergeCell ref="A72:B72"/>
    <mergeCell ref="A73:B73"/>
    <mergeCell ref="A74:B74"/>
    <mergeCell ref="A75:B75"/>
    <mergeCell ref="A76:B76"/>
    <mergeCell ref="A77:B77"/>
    <mergeCell ref="A81:B81"/>
    <mergeCell ref="A82:B82"/>
    <mergeCell ref="A84:B84"/>
    <mergeCell ref="A85:B85"/>
    <mergeCell ref="A86:B86"/>
    <mergeCell ref="A87:B87"/>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2:B42"/>
    <mergeCell ref="A43:B43"/>
    <mergeCell ref="A44:B44"/>
    <mergeCell ref="A45:B45"/>
    <mergeCell ref="A46:B46"/>
    <mergeCell ref="A47:B47"/>
    <mergeCell ref="A36:B36"/>
    <mergeCell ref="A37:B37"/>
    <mergeCell ref="A38:B38"/>
    <mergeCell ref="A39:B39"/>
    <mergeCell ref="A40:B40"/>
    <mergeCell ref="A41:B41"/>
    <mergeCell ref="A30:B30"/>
    <mergeCell ref="A31:B31"/>
    <mergeCell ref="A32:B32"/>
    <mergeCell ref="A33:B33"/>
    <mergeCell ref="A34:B34"/>
    <mergeCell ref="A35:B35"/>
    <mergeCell ref="A28:B28"/>
    <mergeCell ref="A29:B29"/>
    <mergeCell ref="A16:B16"/>
    <mergeCell ref="A17:B17"/>
    <mergeCell ref="A18:B18"/>
    <mergeCell ref="A19:B19"/>
    <mergeCell ref="A20:B20"/>
    <mergeCell ref="A21:B21"/>
    <mergeCell ref="A22:G22"/>
    <mergeCell ref="A23:G23"/>
    <mergeCell ref="A15:B15"/>
    <mergeCell ref="B5:C5"/>
    <mergeCell ref="B6:C6"/>
    <mergeCell ref="A8:G8"/>
    <mergeCell ref="A9:B9"/>
    <mergeCell ref="A24:B24"/>
    <mergeCell ref="A25:B25"/>
    <mergeCell ref="A26:B26"/>
    <mergeCell ref="A27:B27"/>
    <mergeCell ref="A2:G2"/>
    <mergeCell ref="A10:B10"/>
    <mergeCell ref="A11:B11"/>
    <mergeCell ref="A12:B12"/>
    <mergeCell ref="A13:B13"/>
    <mergeCell ref="B3:E3"/>
    <mergeCell ref="B4:E4"/>
    <mergeCell ref="B1:F1"/>
    <mergeCell ref="A14:B14"/>
  </mergeCells>
  <conditionalFormatting sqref="B1">
    <cfRule type="cellIs" dxfId="29" priority="1" operator="equal">
      <formula>"ERROR"</formula>
    </cfRule>
  </conditionalFormatting>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rgb="FF00FF00"/>
  </sheetPr>
  <dimension ref="A1:X86"/>
  <sheetViews>
    <sheetView showGridLines="0" zoomScaleNormal="100" workbookViewId="0">
      <selection activeCell="C6" sqref="C6:D6"/>
    </sheetView>
  </sheetViews>
  <sheetFormatPr baseColWidth="10" defaultColWidth="11.42578125" defaultRowHeight="13.9" customHeight="1" x14ac:dyDescent="0.2"/>
  <cols>
    <col min="1" max="1" width="3.42578125" style="11" customWidth="1"/>
    <col min="2" max="2" width="34" style="11" customWidth="1"/>
    <col min="3" max="3" width="33.85546875" style="11" customWidth="1"/>
    <col min="4" max="4" width="38" style="11" customWidth="1"/>
    <col min="5" max="5" width="39.7109375" style="11" customWidth="1"/>
    <col min="6" max="6" width="34.85546875" style="11" customWidth="1"/>
    <col min="7" max="7" width="36.140625" style="11" customWidth="1"/>
    <col min="8" max="8" width="41.140625" style="11" customWidth="1"/>
    <col min="9" max="9" width="59.42578125" style="11" customWidth="1"/>
    <col min="10" max="10" width="29" style="11" customWidth="1"/>
    <col min="11" max="11" width="20.28515625" style="11" customWidth="1"/>
    <col min="12" max="12" width="25.5703125" style="11" customWidth="1"/>
    <col min="13" max="13" width="14.5703125" style="11" customWidth="1"/>
    <col min="14" max="14" width="26.42578125" style="11" customWidth="1"/>
    <col min="15" max="15" width="19.42578125" style="11" customWidth="1"/>
    <col min="16" max="17" width="11.42578125" style="11" customWidth="1"/>
    <col min="18" max="18" width="8.42578125" style="11" customWidth="1"/>
    <col min="19" max="20" width="11.42578125" style="11" customWidth="1"/>
    <col min="21" max="21" width="7.42578125" style="11" customWidth="1"/>
    <col min="22" max="26" width="11.42578125" style="11" customWidth="1"/>
    <col min="27" max="16384" width="11.42578125" style="11"/>
  </cols>
  <sheetData>
    <row r="1" spans="1:10" ht="81.75" customHeight="1" x14ac:dyDescent="0.25">
      <c r="A1" s="1955"/>
      <c r="B1" s="1955"/>
      <c r="C1" s="2621" t="s">
        <v>1657</v>
      </c>
      <c r="D1" s="2621"/>
      <c r="E1" s="2621"/>
      <c r="F1" s="1092" t="s">
        <v>1734</v>
      </c>
      <c r="I1" s="49"/>
    </row>
    <row r="2" spans="1:10" ht="32.25" customHeight="1" x14ac:dyDescent="0.2">
      <c r="A2" s="2253"/>
      <c r="B2" s="2253"/>
      <c r="C2" s="2253"/>
      <c r="D2" s="2253"/>
      <c r="E2" s="2253"/>
      <c r="F2" s="2253"/>
      <c r="J2" s="50"/>
    </row>
    <row r="3" spans="1:10" ht="10.5" customHeight="1" x14ac:dyDescent="0.2">
      <c r="E3" s="9"/>
      <c r="F3" s="51"/>
      <c r="J3" s="50"/>
    </row>
    <row r="4" spans="1:10" ht="20.100000000000001" customHeight="1" x14ac:dyDescent="0.2">
      <c r="B4" s="10" t="s">
        <v>118</v>
      </c>
      <c r="C4" s="2550" t="str">
        <f>+FENECIMIENTO!D4</f>
        <v xml:space="preserve">80000 - DIRECCIÓN SECTOR MOVILIDAD </v>
      </c>
      <c r="D4" s="2550"/>
      <c r="E4" s="2550"/>
      <c r="F4" s="2550"/>
      <c r="J4" s="50"/>
    </row>
    <row r="5" spans="1:10" ht="20.100000000000001" customHeight="1" x14ac:dyDescent="0.2">
      <c r="B5" s="11" t="s">
        <v>1</v>
      </c>
      <c r="C5" s="2617" t="str">
        <f>+FENECIMIENTO!D5</f>
        <v xml:space="preserve">262 - Empresa de Transporte del Tercer Milenio - Transmilenio S.A. </v>
      </c>
      <c r="D5" s="2618"/>
      <c r="E5" s="2618"/>
      <c r="F5" s="2618"/>
      <c r="J5" s="50"/>
    </row>
    <row r="6" spans="1:10" ht="20.100000000000001" customHeight="1" x14ac:dyDescent="0.2">
      <c r="B6" s="1015" t="s">
        <v>1589</v>
      </c>
      <c r="C6" s="2618">
        <f>+'ANALÍTICA PRESUPUESTAL'!B9</f>
        <v>2025</v>
      </c>
      <c r="D6" s="2618"/>
      <c r="E6" s="16" t="s">
        <v>121</v>
      </c>
      <c r="F6" s="26">
        <f>+FENECIMIENTO!K5</f>
        <v>2024</v>
      </c>
      <c r="J6" s="50"/>
    </row>
    <row r="7" spans="1:10" ht="20.100000000000001" customHeight="1" x14ac:dyDescent="0.2">
      <c r="B7" s="11" t="s">
        <v>3</v>
      </c>
      <c r="C7" s="2618">
        <f>+FENECIMIENTO!K6</f>
        <v>87</v>
      </c>
      <c r="D7" s="2618"/>
      <c r="E7" s="16"/>
      <c r="J7" s="50"/>
    </row>
    <row r="8" spans="1:10" ht="20.100000000000001" customHeight="1" x14ac:dyDescent="0.2">
      <c r="B8" s="11" t="s">
        <v>4</v>
      </c>
      <c r="C8" s="2623">
        <f>+FENECIMIENTO!D7</f>
        <v>45693</v>
      </c>
      <c r="D8" s="2624"/>
      <c r="E8" s="16" t="s">
        <v>122</v>
      </c>
      <c r="F8" s="1016">
        <f>+FENECIMIENTO!K7</f>
        <v>45693</v>
      </c>
      <c r="J8" s="50"/>
    </row>
    <row r="9" spans="1:10" ht="13.9" customHeight="1" x14ac:dyDescent="0.2">
      <c r="E9" s="51"/>
      <c r="F9" s="51"/>
      <c r="J9" s="50"/>
    </row>
    <row r="10" spans="1:10" ht="13.9" customHeight="1" x14ac:dyDescent="0.2">
      <c r="B10" s="2622" t="s">
        <v>1655</v>
      </c>
      <c r="C10" s="2622"/>
      <c r="D10" s="2622"/>
      <c r="E10" s="2622"/>
      <c r="F10" s="2622"/>
      <c r="G10" s="51"/>
      <c r="J10" s="50"/>
    </row>
    <row r="11" spans="1:10" ht="13.9" customHeight="1" x14ac:dyDescent="0.25">
      <c r="E11" s="52"/>
      <c r="F11" s="51"/>
    </row>
    <row r="12" spans="1:10" ht="13.9" customHeight="1" x14ac:dyDescent="0.25">
      <c r="B12" s="932" t="s">
        <v>449</v>
      </c>
      <c r="C12" s="49"/>
    </row>
    <row r="13" spans="1:10" ht="13.9" customHeight="1" thickBot="1" x14ac:dyDescent="0.25">
      <c r="B13" s="53"/>
      <c r="C13" s="53"/>
      <c r="D13" s="53"/>
    </row>
    <row r="14" spans="1:10" ht="19.5" customHeight="1" thickTop="1" x14ac:dyDescent="0.25">
      <c r="A14" s="54"/>
      <c r="B14" s="2619" t="s">
        <v>450</v>
      </c>
      <c r="C14" s="2620"/>
      <c r="D14" s="28" t="s">
        <v>123</v>
      </c>
      <c r="E14" s="55"/>
    </row>
    <row r="15" spans="1:10" ht="30" customHeight="1" x14ac:dyDescent="0.25">
      <c r="A15" s="198" t="b">
        <v>0</v>
      </c>
      <c r="B15" s="2615"/>
      <c r="C15" s="2616"/>
      <c r="D15" s="1077">
        <f>IF(A15,'ANALÍTICAS GASTO PÚBLICO'!D120,0)</f>
        <v>0</v>
      </c>
      <c r="E15" s="55"/>
      <c r="F15" s="55"/>
      <c r="J15" s="49"/>
    </row>
    <row r="16" spans="1:10" ht="29.25" customHeight="1" x14ac:dyDescent="0.25">
      <c r="A16" s="199" t="b">
        <v>1</v>
      </c>
      <c r="B16" s="2611"/>
      <c r="C16" s="2612"/>
      <c r="D16" s="242">
        <f>IF(A16,'ANALÍTICAS GASTO PÚBLICO'!F21,0)</f>
        <v>924307453</v>
      </c>
      <c r="E16" s="56"/>
      <c r="F16" s="55"/>
      <c r="J16" s="49"/>
    </row>
    <row r="17" spans="1:10" ht="29.25" customHeight="1" x14ac:dyDescent="0.25">
      <c r="A17" s="199" t="b">
        <v>1</v>
      </c>
      <c r="B17" s="2611"/>
      <c r="C17" s="2612"/>
      <c r="D17" s="242">
        <f>IF(A17,'ANALÍTICAS GASTO PÚBLICO'!C106,0)</f>
        <v>258934000</v>
      </c>
      <c r="E17" s="56"/>
      <c r="F17" s="55"/>
      <c r="J17" s="49"/>
    </row>
    <row r="18" spans="1:10" ht="29.25" customHeight="1" thickBot="1" x14ac:dyDescent="0.3">
      <c r="A18" s="199" t="b">
        <v>1</v>
      </c>
      <c r="B18" s="2613"/>
      <c r="C18" s="2614"/>
      <c r="D18" s="243">
        <f>IF(A18,'ANALÍTICAS GASTO PÚBLICO'!C115,0)</f>
        <v>2674610094</v>
      </c>
      <c r="E18" s="56"/>
      <c r="F18" s="55"/>
      <c r="J18" s="49"/>
    </row>
    <row r="19" spans="1:10" ht="29.25" customHeight="1" thickTop="1" thickBot="1" x14ac:dyDescent="0.3">
      <c r="A19" s="54"/>
      <c r="B19" s="2628" t="s">
        <v>35</v>
      </c>
      <c r="C19" s="2629"/>
      <c r="D19" s="244">
        <f>SUM(D15:D18)</f>
        <v>3857851547</v>
      </c>
      <c r="E19" s="56"/>
      <c r="F19" s="55"/>
      <c r="J19" s="49"/>
    </row>
    <row r="20" spans="1:10" ht="18.75" customHeight="1" thickTop="1" x14ac:dyDescent="0.25">
      <c r="B20" s="27"/>
      <c r="C20" s="27"/>
      <c r="D20" s="27"/>
      <c r="E20" s="56"/>
      <c r="F20" s="55"/>
      <c r="J20" s="49"/>
    </row>
    <row r="21" spans="1:10" ht="16.5" customHeight="1" x14ac:dyDescent="0.25">
      <c r="B21" s="2637"/>
      <c r="C21" s="2637"/>
      <c r="D21" s="2637"/>
      <c r="E21" s="56"/>
      <c r="F21" s="55"/>
      <c r="J21" s="49"/>
    </row>
    <row r="22" spans="1:10" ht="24" customHeight="1" x14ac:dyDescent="0.2">
      <c r="C22" s="2638" t="s">
        <v>1728</v>
      </c>
      <c r="D22" s="2638"/>
      <c r="E22" s="2638"/>
      <c r="F22" s="57" t="s">
        <v>124</v>
      </c>
    </row>
    <row r="23" spans="1:10" ht="78.75" customHeight="1" x14ac:dyDescent="0.2">
      <c r="B23" s="245" t="s">
        <v>439</v>
      </c>
      <c r="C23" s="17" t="s">
        <v>125</v>
      </c>
      <c r="D23" s="18" t="s">
        <v>126</v>
      </c>
      <c r="E23" s="17" t="s">
        <v>127</v>
      </c>
      <c r="F23" s="18" t="s">
        <v>128</v>
      </c>
    </row>
    <row r="24" spans="1:10" ht="50.25" customHeight="1" x14ac:dyDescent="0.2">
      <c r="B24" s="19" t="str">
        <f>IFERROR(IF(D24="No hay",VLOOKUP(SUM(C25:F25),TablaMuestra[[Mínimo SIN Concepto Vig Anterior]:[Riesgo de Control]],2,TRUE),VLOOKUP(SUM(C25:F25),TablaMuestra[],3,TRUE)),"")</f>
        <v>MEDIO</v>
      </c>
      <c r="C24" s="20" t="s">
        <v>141</v>
      </c>
      <c r="D24" s="21" t="s">
        <v>145</v>
      </c>
      <c r="E24" s="21" t="s">
        <v>131</v>
      </c>
      <c r="F24" s="21" t="s">
        <v>151</v>
      </c>
    </row>
    <row r="25" spans="1:10" ht="18.75" customHeight="1" x14ac:dyDescent="0.2">
      <c r="B25" s="22" t="str">
        <f>_xlfn.IFNA(CONCATENATE("TOTAL :  ",SUM(C25:F25)),"")</f>
        <v>TOTAL :  10</v>
      </c>
      <c r="C25" s="22">
        <f>_xlfn.IFNA(VLOOKUP(C24,Hallazgos_anterior[],2,FALSE),"")</f>
        <v>3</v>
      </c>
      <c r="D25" s="22">
        <f>_xlfn.IFNA(VLOOKUP(D24,Concepto_anterior[],2,FALSE),"")</f>
        <v>1</v>
      </c>
      <c r="E25" s="22">
        <f>_xlfn.IFNA(VLOOKUP(E24,Diseño_Control[],2,FALSE),"")</f>
        <v>2</v>
      </c>
      <c r="F25" s="22">
        <f>_xlfn.IFNA(VLOOKUP(F24,Riesgo_residual[],2,FALSE),"")</f>
        <v>4</v>
      </c>
    </row>
    <row r="26" spans="1:10" ht="13.9" customHeight="1" x14ac:dyDescent="0.2">
      <c r="B26" s="2625"/>
      <c r="C26" s="2625"/>
      <c r="D26" s="2625"/>
      <c r="E26" s="2625"/>
      <c r="F26" s="2625"/>
    </row>
    <row r="27" spans="1:10" ht="19.5" customHeight="1" x14ac:dyDescent="0.2">
      <c r="B27" s="2632"/>
      <c r="C27" s="2632"/>
      <c r="D27" s="2632"/>
      <c r="E27" s="2632"/>
      <c r="F27" s="2632"/>
    </row>
    <row r="28" spans="1:10" ht="26.25" customHeight="1" x14ac:dyDescent="0.2">
      <c r="B28" s="2630" t="s">
        <v>133</v>
      </c>
      <c r="C28" s="2633" t="s">
        <v>134</v>
      </c>
      <c r="D28" s="2634"/>
      <c r="E28" s="2630" t="s">
        <v>135</v>
      </c>
      <c r="F28" s="2630" t="s">
        <v>136</v>
      </c>
    </row>
    <row r="29" spans="1:10" ht="24" customHeight="1" x14ac:dyDescent="0.2">
      <c r="B29" s="2631"/>
      <c r="C29" s="2635"/>
      <c r="D29" s="2636"/>
      <c r="E29" s="2631"/>
      <c r="F29" s="2631"/>
    </row>
    <row r="30" spans="1:10" ht="29.25" customHeight="1" x14ac:dyDescent="0.2">
      <c r="B30" s="24">
        <f>_xlfn.IFNA(VLOOKUP(Riesgo,TablaMuestra[[Riesgo de Control]:[Parametro Minimo Concepto]],2,FALSE),"")</f>
        <v>0.25</v>
      </c>
      <c r="C30" s="2626">
        <f>_xlfn.IFNA(VLOOKUP(Riesgo,TablaMuestra[[Riesgo de Control]:[Parametro Minimo Concepto]],5,FALSE),"")</f>
        <v>0.75</v>
      </c>
      <c r="D30" s="2627"/>
      <c r="E30" s="24">
        <f>_xlfn.IFNA(VLOOKUP(Riesgo,TablaMuestra[[Riesgo de Control]:[Parametro Minimo Concepto]],3,FALSE),"")</f>
        <v>0.25</v>
      </c>
      <c r="F30" s="23">
        <f>IFERROR(D19*E30,"")</f>
        <v>964462886.75</v>
      </c>
    </row>
    <row r="31" spans="1:10" ht="13.9" customHeight="1" x14ac:dyDescent="0.2">
      <c r="B31" s="2625" t="s">
        <v>143</v>
      </c>
      <c r="C31" s="2625"/>
      <c r="D31" s="2625"/>
      <c r="E31" s="2625"/>
      <c r="F31" s="2625"/>
    </row>
    <row r="32" spans="1:10" ht="190.9" customHeight="1" x14ac:dyDescent="0.2">
      <c r="B32" s="2639"/>
      <c r="C32" s="2639"/>
      <c r="D32" s="2639"/>
      <c r="E32" s="2639"/>
      <c r="F32" s="2639"/>
    </row>
    <row r="33" spans="2:8" ht="19.899999999999999" customHeight="1" x14ac:dyDescent="0.2">
      <c r="B33" s="2639"/>
      <c r="C33" s="2639"/>
      <c r="D33" s="2639"/>
      <c r="E33" s="2639"/>
      <c r="F33" s="2639"/>
    </row>
    <row r="34" spans="2:8" ht="46.9" customHeight="1" x14ac:dyDescent="0.2">
      <c r="B34" s="2639"/>
      <c r="C34" s="2639"/>
      <c r="D34" s="2639"/>
      <c r="E34" s="2639"/>
      <c r="F34" s="2639"/>
      <c r="G34" s="62"/>
      <c r="H34" s="62"/>
    </row>
    <row r="35" spans="2:8" ht="21" customHeight="1" x14ac:dyDescent="0.25">
      <c r="B35" s="25"/>
      <c r="C35" s="25"/>
      <c r="D35" s="1065"/>
      <c r="E35" s="25"/>
      <c r="F35" s="25"/>
    </row>
    <row r="36" spans="2:8" ht="16.5" customHeight="1" x14ac:dyDescent="0.25">
      <c r="B36" s="32"/>
      <c r="C36" s="32"/>
      <c r="D36" s="1066"/>
      <c r="E36" s="16"/>
      <c r="F36" s="68"/>
    </row>
    <row r="37" spans="2:8" ht="13.9" customHeight="1" x14ac:dyDescent="0.25">
      <c r="B37" s="69"/>
      <c r="C37" s="69"/>
      <c r="D37" s="69"/>
      <c r="E37" s="70"/>
      <c r="F37" s="68"/>
    </row>
    <row r="38" spans="2:8" ht="21.75" customHeight="1" x14ac:dyDescent="0.25">
      <c r="B38" s="69"/>
      <c r="C38" s="69"/>
      <c r="D38" s="71"/>
      <c r="E38" s="70"/>
      <c r="F38" s="68"/>
    </row>
    <row r="39" spans="2:8" ht="13.9" customHeight="1" x14ac:dyDescent="0.2">
      <c r="B39" s="69"/>
      <c r="D39" s="69"/>
      <c r="E39" s="69"/>
      <c r="F39" s="69"/>
    </row>
    <row r="40" spans="2:8" ht="13.9" customHeight="1" x14ac:dyDescent="0.2">
      <c r="B40" s="69"/>
      <c r="C40" s="76"/>
      <c r="D40" s="77"/>
      <c r="E40" s="77"/>
      <c r="F40" s="77"/>
    </row>
    <row r="41" spans="2:8" ht="13.9" customHeight="1" x14ac:dyDescent="0.25">
      <c r="B41" s="69"/>
      <c r="C41" s="78"/>
      <c r="D41" s="79"/>
      <c r="E41" s="79"/>
      <c r="F41" s="79"/>
    </row>
    <row r="42" spans="2:8" ht="13.9" customHeight="1" x14ac:dyDescent="0.2">
      <c r="B42" s="69"/>
      <c r="C42" s="82"/>
      <c r="D42" s="83"/>
      <c r="E42" s="83"/>
      <c r="F42" s="83"/>
    </row>
    <row r="43" spans="2:8" ht="13.9" customHeight="1" x14ac:dyDescent="0.25">
      <c r="C43" s="82"/>
      <c r="D43" s="85"/>
      <c r="E43" s="85"/>
      <c r="F43" s="85"/>
      <c r="G43" s="86"/>
      <c r="H43" s="86"/>
    </row>
    <row r="44" spans="2:8" ht="13.9" customHeight="1" x14ac:dyDescent="0.25">
      <c r="B44" s="89"/>
      <c r="C44" s="89"/>
      <c r="D44" s="89"/>
      <c r="E44" s="89"/>
      <c r="F44" s="89"/>
      <c r="G44" s="86"/>
      <c r="H44" s="86"/>
    </row>
    <row r="45" spans="2:8" ht="26.45" customHeight="1" x14ac:dyDescent="0.25">
      <c r="G45" s="86"/>
      <c r="H45" s="86"/>
    </row>
    <row r="46" spans="2:8" ht="13.9" customHeight="1" x14ac:dyDescent="0.25">
      <c r="G46" s="86"/>
      <c r="H46" s="86"/>
    </row>
    <row r="47" spans="2:8" ht="13.9" customHeight="1" x14ac:dyDescent="0.25">
      <c r="B47" s="55"/>
      <c r="C47" s="55"/>
      <c r="D47" s="92"/>
      <c r="F47" s="49"/>
    </row>
    <row r="48" spans="2:8" ht="13.9" customHeight="1" x14ac:dyDescent="0.25">
      <c r="B48" s="12"/>
      <c r="C48" s="12"/>
      <c r="D48" s="13"/>
      <c r="E48" s="14"/>
      <c r="F48" s="14"/>
    </row>
    <row r="49" spans="2:24" ht="20.25" customHeight="1" x14ac:dyDescent="0.2"/>
    <row r="50" spans="2:24" ht="13.9" customHeight="1" x14ac:dyDescent="0.25">
      <c r="B50" s="2645"/>
      <c r="C50" s="2645"/>
      <c r="D50" s="2645"/>
      <c r="E50" s="2645"/>
      <c r="F50" s="2645"/>
    </row>
    <row r="51" spans="2:24" ht="13.9" customHeight="1" x14ac:dyDescent="0.2">
      <c r="B51" s="2644"/>
      <c r="C51" s="2644"/>
      <c r="D51" s="2644"/>
      <c r="E51" s="2644"/>
      <c r="F51" s="2644"/>
    </row>
    <row r="53" spans="2:24" ht="13.9" customHeight="1" x14ac:dyDescent="0.25">
      <c r="B53" s="55"/>
      <c r="C53" s="55"/>
    </row>
    <row r="54" spans="2:24" ht="13.9" hidden="1" customHeight="1" x14ac:dyDescent="0.2">
      <c r="B54" s="97"/>
      <c r="C54" s="98"/>
    </row>
    <row r="55" spans="2:24" ht="13.9" hidden="1" customHeight="1" x14ac:dyDescent="0.2"/>
    <row r="56" spans="2:24" ht="13.9" hidden="1" customHeight="1" x14ac:dyDescent="0.2">
      <c r="B56" s="2646"/>
      <c r="C56" s="2646"/>
      <c r="D56" s="2646"/>
      <c r="E56" s="2646"/>
      <c r="F56" s="2646"/>
    </row>
    <row r="57" spans="2:24" ht="13.9" hidden="1" customHeight="1" x14ac:dyDescent="0.2">
      <c r="B57" s="2646"/>
      <c r="C57" s="2646"/>
      <c r="D57" s="2646"/>
      <c r="E57" s="2646"/>
      <c r="F57" s="2646"/>
      <c r="I57" s="11" t="s">
        <v>137</v>
      </c>
      <c r="J57" s="11" t="s">
        <v>138</v>
      </c>
      <c r="L57" s="11" t="s">
        <v>139</v>
      </c>
      <c r="M57" s="11" t="s">
        <v>138</v>
      </c>
      <c r="R57" s="11" t="s">
        <v>140</v>
      </c>
    </row>
    <row r="58" spans="2:24" ht="13.9" hidden="1" customHeight="1" x14ac:dyDescent="0.2">
      <c r="B58" s="2647"/>
      <c r="C58" s="2647"/>
      <c r="D58" s="2647"/>
      <c r="E58" s="2647"/>
      <c r="F58" s="2647"/>
      <c r="I58" s="11" t="s">
        <v>129</v>
      </c>
      <c r="J58" s="11">
        <v>4</v>
      </c>
      <c r="L58" s="11" t="s">
        <v>130</v>
      </c>
      <c r="M58" s="11">
        <v>4</v>
      </c>
      <c r="Q58" s="58"/>
      <c r="R58" s="59"/>
      <c r="S58" s="60">
        <v>100</v>
      </c>
      <c r="T58" s="58"/>
      <c r="U58" s="58"/>
    </row>
    <row r="59" spans="2:24" ht="13.9" hidden="1" customHeight="1" x14ac:dyDescent="0.2">
      <c r="I59" s="10" t="s">
        <v>141</v>
      </c>
      <c r="J59" s="11">
        <v>3</v>
      </c>
      <c r="L59" s="10" t="s">
        <v>142</v>
      </c>
      <c r="M59" s="11">
        <v>2.5</v>
      </c>
      <c r="Q59" s="58"/>
      <c r="R59" s="59"/>
      <c r="S59" s="58"/>
      <c r="T59" s="58"/>
      <c r="U59" s="58"/>
    </row>
    <row r="60" spans="2:24" ht="13.9" hidden="1" customHeight="1" x14ac:dyDescent="0.25">
      <c r="B60" s="2645"/>
      <c r="C60" s="2645"/>
      <c r="D60" s="2645"/>
      <c r="E60" s="2645"/>
      <c r="F60" s="2645"/>
      <c r="I60" s="11" t="s">
        <v>144</v>
      </c>
      <c r="J60" s="11">
        <v>2</v>
      </c>
      <c r="L60" s="11" t="s">
        <v>145</v>
      </c>
      <c r="M60" s="11">
        <v>1</v>
      </c>
      <c r="Q60" s="58"/>
      <c r="R60" s="59"/>
      <c r="S60" s="58"/>
      <c r="T60" s="58"/>
      <c r="U60" s="58"/>
    </row>
    <row r="61" spans="2:24" ht="13.9" hidden="1" customHeight="1" x14ac:dyDescent="0.2">
      <c r="B61" s="2644"/>
      <c r="C61" s="2644"/>
      <c r="D61" s="2644"/>
      <c r="E61" s="2644"/>
      <c r="F61" s="2644"/>
      <c r="I61" s="11" t="s">
        <v>146</v>
      </c>
      <c r="J61" s="11">
        <v>1</v>
      </c>
      <c r="L61" s="11" t="s">
        <v>147</v>
      </c>
      <c r="M61" s="61">
        <v>0</v>
      </c>
      <c r="Q61" s="58"/>
      <c r="R61" s="59"/>
      <c r="S61" s="58"/>
      <c r="T61" s="58"/>
      <c r="U61" s="58"/>
    </row>
    <row r="62" spans="2:24" ht="13.9" hidden="1" customHeight="1" x14ac:dyDescent="0.2">
      <c r="I62" s="11" t="s">
        <v>147</v>
      </c>
      <c r="J62" s="11">
        <v>0</v>
      </c>
      <c r="M62" s="61" t="s">
        <v>143</v>
      </c>
      <c r="Q62" s="58"/>
      <c r="R62" s="59"/>
      <c r="S62" s="58"/>
      <c r="T62" s="58"/>
      <c r="U62" s="58"/>
    </row>
    <row r="63" spans="2:24" ht="13.9" hidden="1" customHeight="1" x14ac:dyDescent="0.2">
      <c r="B63" s="99"/>
      <c r="C63" s="100"/>
      <c r="Q63" s="63"/>
      <c r="R63" s="64"/>
      <c r="S63" s="65"/>
      <c r="T63" s="65"/>
      <c r="U63" s="58"/>
    </row>
    <row r="64" spans="2:24" s="15" customFormat="1" ht="20.25" hidden="1" customHeight="1" x14ac:dyDescent="0.25">
      <c r="B64" s="101"/>
      <c r="C64" s="98"/>
      <c r="D64" s="11"/>
      <c r="E64" s="11"/>
      <c r="F64" s="11"/>
      <c r="I64" s="11"/>
      <c r="J64" s="11"/>
      <c r="K64" s="11"/>
      <c r="L64" s="11"/>
      <c r="M64" s="11"/>
      <c r="N64" s="11"/>
      <c r="O64" s="11"/>
      <c r="P64" s="11"/>
      <c r="Q64" s="63"/>
      <c r="R64" s="66"/>
      <c r="S64" s="67"/>
      <c r="T64" s="67"/>
      <c r="U64" s="58"/>
      <c r="V64" s="11"/>
      <c r="W64" s="11"/>
      <c r="X64" s="11"/>
    </row>
    <row r="65" spans="9:23" ht="13.9" hidden="1" customHeight="1" x14ac:dyDescent="0.2">
      <c r="I65" s="11" t="s">
        <v>149</v>
      </c>
      <c r="J65" s="11" t="s">
        <v>138</v>
      </c>
      <c r="L65" s="11" t="s">
        <v>150</v>
      </c>
      <c r="M65" s="11" t="s">
        <v>138</v>
      </c>
      <c r="Q65" s="63"/>
      <c r="R65" s="66"/>
      <c r="S65" s="67"/>
      <c r="T65" s="67"/>
      <c r="U65" s="58"/>
    </row>
    <row r="66" spans="9:23" ht="13.9" hidden="1" customHeight="1" x14ac:dyDescent="0.2">
      <c r="I66" s="11" t="s">
        <v>151</v>
      </c>
      <c r="J66" s="11">
        <v>4</v>
      </c>
      <c r="L66" s="11" t="s">
        <v>152</v>
      </c>
      <c r="M66" s="11">
        <v>4</v>
      </c>
      <c r="Q66" s="58"/>
      <c r="R66" s="59"/>
      <c r="S66" s="58"/>
      <c r="T66" s="58"/>
      <c r="U66" s="58"/>
    </row>
    <row r="67" spans="9:23" ht="13.9" hidden="1" customHeight="1" x14ac:dyDescent="0.2">
      <c r="I67" s="10" t="s">
        <v>153</v>
      </c>
      <c r="J67" s="11">
        <v>3</v>
      </c>
      <c r="L67" s="10" t="s">
        <v>154</v>
      </c>
      <c r="M67" s="11">
        <v>3</v>
      </c>
      <c r="Q67" s="72"/>
      <c r="R67" s="66"/>
      <c r="S67" s="67"/>
      <c r="T67" s="67"/>
      <c r="U67" s="58"/>
    </row>
    <row r="68" spans="9:23" ht="13.9" hidden="1" customHeight="1" x14ac:dyDescent="0.2">
      <c r="I68" s="11" t="s">
        <v>132</v>
      </c>
      <c r="J68" s="11">
        <v>2</v>
      </c>
      <c r="L68" s="11" t="s">
        <v>131</v>
      </c>
      <c r="M68" s="11">
        <v>2</v>
      </c>
      <c r="Q68" s="73"/>
      <c r="R68" s="74"/>
      <c r="S68" s="75"/>
      <c r="T68" s="75"/>
      <c r="U68" s="58"/>
    </row>
    <row r="69" spans="9:23" ht="13.9" hidden="1" customHeight="1" x14ac:dyDescent="0.2">
      <c r="I69" s="10" t="s">
        <v>155</v>
      </c>
      <c r="J69" s="11">
        <v>1</v>
      </c>
      <c r="L69" s="10" t="s">
        <v>156</v>
      </c>
      <c r="M69" s="11">
        <v>1</v>
      </c>
      <c r="Q69" s="65"/>
      <c r="R69" s="66"/>
      <c r="S69" s="67"/>
      <c r="T69" s="67"/>
      <c r="U69" s="58" t="s">
        <v>157</v>
      </c>
    </row>
    <row r="70" spans="9:23" ht="13.9" hidden="1" customHeight="1" thickBot="1" x14ac:dyDescent="0.25">
      <c r="L70" s="11" t="s">
        <v>1604</v>
      </c>
      <c r="M70" s="11">
        <v>0</v>
      </c>
      <c r="Q70" s="58"/>
      <c r="R70" s="66"/>
      <c r="S70" s="80"/>
      <c r="T70" s="81"/>
      <c r="U70" s="65">
        <v>0.3</v>
      </c>
      <c r="V70" s="58"/>
    </row>
    <row r="71" spans="9:23" ht="13.9" hidden="1" customHeight="1" x14ac:dyDescent="0.2">
      <c r="I71" s="11" t="s">
        <v>158</v>
      </c>
      <c r="J71" s="11" t="s">
        <v>159</v>
      </c>
      <c r="K71" s="11" t="s">
        <v>160</v>
      </c>
      <c r="L71" s="62" t="s">
        <v>161</v>
      </c>
      <c r="M71" s="11" t="s">
        <v>157</v>
      </c>
      <c r="N71" s="11" t="s">
        <v>162</v>
      </c>
      <c r="O71" s="11" t="s">
        <v>163</v>
      </c>
      <c r="Q71" s="58"/>
      <c r="R71" s="59"/>
      <c r="S71" s="58"/>
      <c r="U71" s="84"/>
      <c r="V71" s="60">
        <v>30</v>
      </c>
      <c r="W71" s="2640">
        <v>0.75</v>
      </c>
    </row>
    <row r="72" spans="9:23" ht="13.9" hidden="1" customHeight="1" x14ac:dyDescent="0.2">
      <c r="I72" s="11">
        <v>4</v>
      </c>
      <c r="J72" s="11">
        <v>1</v>
      </c>
      <c r="K72" s="87" t="s">
        <v>164</v>
      </c>
      <c r="L72" s="88">
        <v>0.3</v>
      </c>
      <c r="M72" s="87">
        <v>0.2</v>
      </c>
      <c r="N72" s="87"/>
      <c r="O72" s="87">
        <v>0.7</v>
      </c>
      <c r="Q72" s="67"/>
      <c r="R72" s="59"/>
      <c r="S72" s="58"/>
      <c r="U72" s="84"/>
      <c r="V72" s="65"/>
      <c r="W72" s="2641"/>
    </row>
    <row r="73" spans="9:23" ht="13.9" hidden="1" customHeight="1" x14ac:dyDescent="0.2">
      <c r="I73" s="11">
        <v>8</v>
      </c>
      <c r="J73" s="11">
        <v>7</v>
      </c>
      <c r="K73" s="87" t="s">
        <v>165</v>
      </c>
      <c r="L73" s="90">
        <v>0.25</v>
      </c>
      <c r="M73" s="87">
        <v>0.25</v>
      </c>
      <c r="N73" s="87"/>
      <c r="O73" s="87">
        <v>0.75</v>
      </c>
      <c r="Q73" s="91"/>
      <c r="R73" s="59"/>
      <c r="S73" s="58"/>
      <c r="U73" s="84"/>
      <c r="V73" s="65"/>
      <c r="W73" s="2641"/>
    </row>
    <row r="74" spans="9:23" ht="13.9" hidden="1" customHeight="1" x14ac:dyDescent="0.2">
      <c r="I74" s="11">
        <v>12</v>
      </c>
      <c r="J74" s="11">
        <v>10</v>
      </c>
      <c r="K74" s="87" t="s">
        <v>166</v>
      </c>
      <c r="L74" s="88">
        <v>0.2</v>
      </c>
      <c r="M74" s="87">
        <v>0.3</v>
      </c>
      <c r="N74" s="87"/>
      <c r="O74" s="87">
        <v>0.8</v>
      </c>
      <c r="Q74" s="67"/>
      <c r="R74" s="59"/>
      <c r="S74" s="58"/>
      <c r="U74" s="84"/>
      <c r="V74" s="65"/>
      <c r="W74" s="2641"/>
    </row>
    <row r="75" spans="9:23" ht="13.9" hidden="1" customHeight="1" thickBot="1" x14ac:dyDescent="0.25">
      <c r="Q75" s="58"/>
      <c r="R75" s="59"/>
      <c r="S75" s="58"/>
      <c r="T75" s="81"/>
      <c r="U75" s="84"/>
      <c r="V75" s="65"/>
      <c r="W75" s="2642"/>
    </row>
    <row r="76" spans="9:23" ht="13.9" hidden="1" customHeight="1" thickBot="1" x14ac:dyDescent="0.25">
      <c r="Q76" s="93">
        <v>7.4999999999999997E-2</v>
      </c>
      <c r="R76" s="94"/>
      <c r="S76" s="2643">
        <v>7.5</v>
      </c>
      <c r="T76" s="2643"/>
      <c r="U76" s="94"/>
      <c r="V76" s="95">
        <v>7.5</v>
      </c>
      <c r="W76" s="96">
        <v>0.25</v>
      </c>
    </row>
    <row r="77" spans="9:23" ht="13.9" hidden="1" customHeight="1" x14ac:dyDescent="0.2"/>
    <row r="78" spans="9:23" ht="13.9" hidden="1" customHeight="1" x14ac:dyDescent="0.2"/>
    <row r="79" spans="9:23" ht="13.9" hidden="1" customHeight="1" x14ac:dyDescent="0.2"/>
    <row r="80" spans="9:23" ht="13.9" hidden="1" customHeight="1" x14ac:dyDescent="0.2"/>
    <row r="81" ht="13.9" hidden="1" customHeight="1" x14ac:dyDescent="0.2"/>
    <row r="82" ht="13.9" hidden="1" customHeight="1" x14ac:dyDescent="0.2"/>
    <row r="83" ht="13.9" hidden="1" customHeight="1" x14ac:dyDescent="0.2"/>
    <row r="84" ht="13.9" hidden="1" customHeight="1" x14ac:dyDescent="0.2"/>
    <row r="85" ht="13.9" hidden="1" customHeight="1" x14ac:dyDescent="0.2"/>
    <row r="86" ht="13.9" hidden="1" customHeight="1" x14ac:dyDescent="0.2"/>
  </sheetData>
  <sheetProtection algorithmName="SHA-512" hashValue="JvZQpOyhBJDwyuaQl9Ck5hBswSP4iURvBc9a5yJNIwtGFUXR4+ByNaNB/qA2cnCDEP5jgk4QjSo9WlWqS2SSBw==" saltValue="UgUNg4BWOTa1cGM8Eu833g==" spinCount="100000" sheet="1" formatColumns="0"/>
  <dataConsolidate/>
  <mergeCells count="35">
    <mergeCell ref="B32:F32"/>
    <mergeCell ref="W71:W75"/>
    <mergeCell ref="S76:T76"/>
    <mergeCell ref="B61:F61"/>
    <mergeCell ref="B60:F60"/>
    <mergeCell ref="B50:F50"/>
    <mergeCell ref="B51:F51"/>
    <mergeCell ref="B56:F57"/>
    <mergeCell ref="B58:F58"/>
    <mergeCell ref="B33:F33"/>
    <mergeCell ref="B34:F34"/>
    <mergeCell ref="B31:F31"/>
    <mergeCell ref="C30:D30"/>
    <mergeCell ref="B19:C19"/>
    <mergeCell ref="B28:B29"/>
    <mergeCell ref="F28:F29"/>
    <mergeCell ref="E28:E29"/>
    <mergeCell ref="B26:F27"/>
    <mergeCell ref="C28:D29"/>
    <mergeCell ref="B21:D21"/>
    <mergeCell ref="C22:E22"/>
    <mergeCell ref="A1:B1"/>
    <mergeCell ref="C1:E1"/>
    <mergeCell ref="A2:F2"/>
    <mergeCell ref="B10:F10"/>
    <mergeCell ref="C4:F4"/>
    <mergeCell ref="C6:D6"/>
    <mergeCell ref="C7:D7"/>
    <mergeCell ref="C8:D8"/>
    <mergeCell ref="B17:C17"/>
    <mergeCell ref="B18:C18"/>
    <mergeCell ref="B15:C15"/>
    <mergeCell ref="B16:C16"/>
    <mergeCell ref="C5:F5"/>
    <mergeCell ref="B14:C14"/>
  </mergeCells>
  <conditionalFormatting sqref="B24">
    <cfRule type="cellIs" dxfId="28" priority="1" operator="equal">
      <formula>"BAJO"</formula>
    </cfRule>
    <cfRule type="cellIs" dxfId="27" priority="2" operator="equal">
      <formula>"MEDIO"</formula>
    </cfRule>
    <cfRule type="cellIs" dxfId="26" priority="3" operator="equal">
      <formula>"ALTO"</formula>
    </cfRule>
  </conditionalFormatting>
  <dataValidations disablePrompts="1" count="6">
    <dataValidation type="list" showInputMessage="1" showErrorMessage="1" sqref="B54" xr:uid="{00000000-0002-0000-1000-000000000000}">
      <formula1>#REF!</formula1>
    </dataValidation>
    <dataValidation type="list" allowBlank="1" showInputMessage="1" showErrorMessage="1" sqref="E24" xr:uid="{00000000-0002-0000-1000-000001000000}">
      <formula1>$L$66:$L$70</formula1>
    </dataValidation>
    <dataValidation type="list" allowBlank="1" showInputMessage="1" showErrorMessage="1" sqref="D24" xr:uid="{00000000-0002-0000-1000-000002000000}">
      <formula1>$L$58:$L$61</formula1>
    </dataValidation>
    <dataValidation type="list" allowBlank="1" showInputMessage="1" showErrorMessage="1" sqref="F24" xr:uid="{00000000-0002-0000-1000-000003000000}">
      <formula1>$I$66:$I$69</formula1>
    </dataValidation>
    <dataValidation type="list" allowBlank="1" showInputMessage="1" showErrorMessage="1" sqref="C24" xr:uid="{00000000-0002-0000-1000-000004000000}">
      <formula1>$I$58:$I$62</formula1>
    </dataValidation>
    <dataValidation operator="greaterThan" allowBlank="1" showInputMessage="1" showErrorMessage="1" sqref="B15:B21" xr:uid="{00000000-0002-0000-1000-000005000000}"/>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1" r:id="rId4" name="Check Box 23">
              <controlPr locked="0" defaultSize="0" autoFill="0" autoLine="0" autoPict="0">
                <anchor moveWithCells="1">
                  <from>
                    <xdr:col>1</xdr:col>
                    <xdr:colOff>381000</xdr:colOff>
                    <xdr:row>14</xdr:row>
                    <xdr:rowOff>19050</xdr:rowOff>
                  </from>
                  <to>
                    <xdr:col>2</xdr:col>
                    <xdr:colOff>2057400</xdr:colOff>
                    <xdr:row>14</xdr:row>
                    <xdr:rowOff>371475</xdr:rowOff>
                  </to>
                </anchor>
              </controlPr>
            </control>
          </mc:Choice>
        </mc:AlternateContent>
        <mc:AlternateContent xmlns:mc="http://schemas.openxmlformats.org/markup-compatibility/2006">
          <mc:Choice Requires="x14">
            <control shapeId="2072" r:id="rId5" name="Check Box 24">
              <controlPr locked="0" defaultSize="0" autoFill="0" autoLine="0" autoPict="0">
                <anchor moveWithCells="1">
                  <from>
                    <xdr:col>1</xdr:col>
                    <xdr:colOff>381000</xdr:colOff>
                    <xdr:row>15</xdr:row>
                    <xdr:rowOff>19050</xdr:rowOff>
                  </from>
                  <to>
                    <xdr:col>2</xdr:col>
                    <xdr:colOff>1819275</xdr:colOff>
                    <xdr:row>16</xdr:row>
                    <xdr:rowOff>0</xdr:rowOff>
                  </to>
                </anchor>
              </controlPr>
            </control>
          </mc:Choice>
        </mc:AlternateContent>
        <mc:AlternateContent xmlns:mc="http://schemas.openxmlformats.org/markup-compatibility/2006">
          <mc:Choice Requires="x14">
            <control shapeId="2073" r:id="rId6" name="Check Box 25">
              <controlPr locked="0" defaultSize="0" autoFill="0" autoLine="0" autoPict="0">
                <anchor moveWithCells="1">
                  <from>
                    <xdr:col>1</xdr:col>
                    <xdr:colOff>381000</xdr:colOff>
                    <xdr:row>16</xdr:row>
                    <xdr:rowOff>19050</xdr:rowOff>
                  </from>
                  <to>
                    <xdr:col>2</xdr:col>
                    <xdr:colOff>1819275</xdr:colOff>
                    <xdr:row>17</xdr:row>
                    <xdr:rowOff>0</xdr:rowOff>
                  </to>
                </anchor>
              </controlPr>
            </control>
          </mc:Choice>
        </mc:AlternateContent>
        <mc:AlternateContent xmlns:mc="http://schemas.openxmlformats.org/markup-compatibility/2006">
          <mc:Choice Requires="x14">
            <control shapeId="2074" r:id="rId7" name="Check Box 26">
              <controlPr locked="0" defaultSize="0" autoFill="0" autoLine="0" autoPict="0">
                <anchor moveWithCells="1">
                  <from>
                    <xdr:col>1</xdr:col>
                    <xdr:colOff>381000</xdr:colOff>
                    <xdr:row>17</xdr:row>
                    <xdr:rowOff>19050</xdr:rowOff>
                  </from>
                  <to>
                    <xdr:col>2</xdr:col>
                    <xdr:colOff>1819275</xdr:colOff>
                    <xdr:row>18</xdr:row>
                    <xdr:rowOff>0</xdr:rowOff>
                  </to>
                </anchor>
              </controlPr>
            </control>
          </mc:Choice>
        </mc:AlternateContent>
      </controls>
    </mc:Choice>
  </mc:AlternateContent>
  <tableParts count="5">
    <tablePart r:id="rId8"/>
    <tablePart r:id="rId9"/>
    <tablePart r:id="rId10"/>
    <tablePart r:id="rId11"/>
    <tablePart r:id="rId12"/>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rgb="FF00FF00"/>
  </sheetPr>
  <dimension ref="A1:DA65524"/>
  <sheetViews>
    <sheetView topLeftCell="CN1" zoomScale="70" zoomScaleNormal="70" workbookViewId="0">
      <selection activeCell="CY1" sqref="CY1"/>
    </sheetView>
  </sheetViews>
  <sheetFormatPr baseColWidth="10" defaultColWidth="11.42578125" defaultRowHeight="14.25" x14ac:dyDescent="0.25"/>
  <cols>
    <col min="1" max="1" width="34.42578125" style="104" customWidth="1"/>
    <col min="2" max="2" width="47.5703125" style="104" customWidth="1"/>
    <col min="3" max="3" width="22.42578125" style="189" bestFit="1" customWidth="1"/>
    <col min="4" max="4" width="52.42578125" style="104" customWidth="1"/>
    <col min="5" max="18" width="30.7109375" style="58" customWidth="1"/>
    <col min="19" max="57" width="30.7109375" style="103" customWidth="1"/>
    <col min="58" max="102" width="30.7109375" style="104" customWidth="1"/>
    <col min="103" max="103" width="34.42578125" style="104" customWidth="1"/>
    <col min="104" max="104" width="19.42578125" style="104" customWidth="1"/>
    <col min="105" max="16384" width="11.42578125" style="104"/>
  </cols>
  <sheetData>
    <row r="1" spans="1:103" ht="85.5" customHeight="1" x14ac:dyDescent="0.2">
      <c r="A1" s="102"/>
      <c r="B1" s="2621" t="s">
        <v>1658</v>
      </c>
      <c r="C1" s="2621"/>
      <c r="D1" s="2621"/>
      <c r="E1" s="2621"/>
      <c r="F1" s="2621"/>
      <c r="G1" s="2621"/>
      <c r="H1" s="2621"/>
      <c r="I1" s="2621"/>
      <c r="J1" s="2621"/>
      <c r="K1" s="2621"/>
      <c r="L1" s="2621"/>
      <c r="M1" s="2621"/>
      <c r="N1" s="2621"/>
      <c r="O1" s="2621"/>
      <c r="P1" s="2621"/>
      <c r="Q1" s="2621"/>
      <c r="R1" s="2621"/>
      <c r="S1" s="2621"/>
      <c r="T1" s="2621"/>
      <c r="U1" s="2621"/>
      <c r="V1" s="2621"/>
      <c r="W1" s="2621"/>
      <c r="X1" s="2621"/>
      <c r="Y1" s="2621"/>
      <c r="Z1" s="2621"/>
      <c r="AA1" s="2621"/>
      <c r="AB1" s="2621"/>
      <c r="AC1" s="2621"/>
      <c r="AD1" s="2621"/>
      <c r="AE1" s="2621"/>
      <c r="AF1" s="2621"/>
      <c r="AG1" s="2621"/>
      <c r="AH1" s="2621"/>
      <c r="AI1" s="2621"/>
      <c r="AJ1" s="2621"/>
      <c r="AK1" s="2621"/>
      <c r="AL1" s="2621"/>
      <c r="AM1" s="2621"/>
      <c r="AN1" s="2621"/>
      <c r="AO1" s="2621"/>
      <c r="AP1" s="2621"/>
      <c r="AQ1" s="2621"/>
      <c r="AR1" s="2621"/>
      <c r="AS1" s="2621"/>
      <c r="AT1" s="2621"/>
      <c r="AU1" s="2621"/>
      <c r="AV1" s="2621"/>
      <c r="AW1" s="2621"/>
      <c r="AX1" s="2621"/>
      <c r="AY1" s="2621"/>
      <c r="AZ1" s="2621"/>
      <c r="BA1" s="2621"/>
      <c r="BB1" s="2621"/>
      <c r="BC1" s="2621"/>
      <c r="BD1" s="2621"/>
      <c r="BE1" s="2621"/>
      <c r="BF1" s="2621"/>
      <c r="BG1" s="2621"/>
      <c r="BH1" s="2621"/>
      <c r="BI1" s="2621"/>
      <c r="BJ1" s="2621"/>
      <c r="BK1" s="2621"/>
      <c r="BL1" s="2621"/>
      <c r="BM1" s="2621"/>
      <c r="BN1" s="2621"/>
      <c r="BO1" s="2621"/>
      <c r="BP1" s="2621"/>
      <c r="BQ1" s="2621"/>
      <c r="BR1" s="2621"/>
      <c r="BS1" s="2621"/>
      <c r="BT1" s="2621"/>
      <c r="BU1" s="2621"/>
      <c r="BV1" s="2621"/>
      <c r="BW1" s="2621"/>
      <c r="BX1" s="2621"/>
      <c r="BY1" s="2621"/>
      <c r="BZ1" s="2621"/>
      <c r="CA1" s="2621"/>
      <c r="CB1" s="2621"/>
      <c r="CC1" s="2621"/>
      <c r="CD1" s="2621"/>
      <c r="CE1" s="2621"/>
      <c r="CF1" s="2621"/>
      <c r="CG1" s="2621"/>
      <c r="CH1" s="2621"/>
      <c r="CI1" s="2621"/>
      <c r="CJ1" s="2621"/>
      <c r="CK1" s="2621"/>
      <c r="CL1" s="2621"/>
      <c r="CM1" s="2621"/>
      <c r="CN1" s="2621"/>
      <c r="CO1" s="2621"/>
      <c r="CP1" s="2621"/>
      <c r="CQ1" s="2621"/>
      <c r="CR1" s="2621"/>
      <c r="CS1" s="2621"/>
      <c r="CT1" s="2621"/>
      <c r="CU1" s="2621"/>
      <c r="CV1" s="2621"/>
      <c r="CW1" s="2621"/>
      <c r="CX1" s="2621"/>
      <c r="CY1" s="1092" t="s">
        <v>1734</v>
      </c>
    </row>
    <row r="2" spans="1:103" ht="22.5" customHeight="1" thickBot="1" x14ac:dyDescent="0.3">
      <c r="A2" s="2687"/>
      <c r="B2" s="2688"/>
      <c r="C2" s="2688"/>
      <c r="D2" s="2689"/>
      <c r="E2" s="193"/>
      <c r="F2" s="105"/>
      <c r="G2" s="106"/>
      <c r="H2" s="105"/>
      <c r="I2" s="105"/>
    </row>
    <row r="3" spans="1:103" s="1" customFormat="1" ht="41.45" customHeight="1" thickBot="1" x14ac:dyDescent="0.3">
      <c r="A3" s="1071" t="s">
        <v>167</v>
      </c>
      <c r="B3" s="2690" t="str">
        <f>+FENECIMIENTO!D5</f>
        <v xml:space="preserve">262 - Empresa de Transporte del Tercer Milenio - Transmilenio S.A. </v>
      </c>
      <c r="C3" s="2691"/>
      <c r="D3" s="1072" t="s">
        <v>168</v>
      </c>
      <c r="E3" s="196">
        <v>1</v>
      </c>
      <c r="F3" s="197">
        <v>2</v>
      </c>
      <c r="G3" s="196">
        <v>3</v>
      </c>
      <c r="H3" s="197">
        <v>4</v>
      </c>
      <c r="I3" s="196">
        <v>5</v>
      </c>
      <c r="J3" s="197">
        <v>6</v>
      </c>
      <c r="K3" s="196">
        <v>7</v>
      </c>
      <c r="L3" s="197">
        <v>8</v>
      </c>
      <c r="M3" s="196">
        <v>9</v>
      </c>
      <c r="N3" s="197">
        <v>10</v>
      </c>
      <c r="O3" s="196">
        <v>11</v>
      </c>
      <c r="P3" s="197">
        <v>12</v>
      </c>
      <c r="Q3" s="196">
        <v>13</v>
      </c>
      <c r="R3" s="197">
        <v>14</v>
      </c>
      <c r="S3" s="196">
        <v>15</v>
      </c>
      <c r="T3" s="197">
        <v>16</v>
      </c>
      <c r="U3" s="196">
        <v>17</v>
      </c>
      <c r="V3" s="197">
        <v>18</v>
      </c>
      <c r="W3" s="196">
        <v>19</v>
      </c>
      <c r="X3" s="197">
        <v>20</v>
      </c>
      <c r="Y3" s="196">
        <v>21</v>
      </c>
      <c r="Z3" s="197">
        <v>22</v>
      </c>
      <c r="AA3" s="196">
        <v>23</v>
      </c>
      <c r="AB3" s="197">
        <v>24</v>
      </c>
      <c r="AC3" s="196">
        <v>25</v>
      </c>
      <c r="AD3" s="197">
        <v>26</v>
      </c>
      <c r="AE3" s="196">
        <v>27</v>
      </c>
      <c r="AF3" s="197">
        <v>28</v>
      </c>
      <c r="AG3" s="196">
        <v>29</v>
      </c>
      <c r="AH3" s="197">
        <v>30</v>
      </c>
      <c r="AI3" s="196">
        <v>31</v>
      </c>
      <c r="AJ3" s="197">
        <v>32</v>
      </c>
      <c r="AK3" s="196">
        <v>33</v>
      </c>
      <c r="AL3" s="197">
        <v>34</v>
      </c>
      <c r="AM3" s="196">
        <v>35</v>
      </c>
      <c r="AN3" s="197">
        <v>36</v>
      </c>
      <c r="AO3" s="196">
        <v>37</v>
      </c>
      <c r="AP3" s="197">
        <v>38</v>
      </c>
      <c r="AQ3" s="196">
        <v>39</v>
      </c>
      <c r="AR3" s="197">
        <v>40</v>
      </c>
      <c r="AS3" s="196">
        <v>41</v>
      </c>
      <c r="AT3" s="197">
        <v>42</v>
      </c>
      <c r="AU3" s="196">
        <v>43</v>
      </c>
      <c r="AV3" s="197">
        <v>44</v>
      </c>
      <c r="AW3" s="196">
        <v>45</v>
      </c>
      <c r="AX3" s="197">
        <v>46</v>
      </c>
      <c r="AY3" s="196">
        <v>47</v>
      </c>
      <c r="AZ3" s="197">
        <v>48</v>
      </c>
      <c r="BA3" s="196">
        <v>49</v>
      </c>
      <c r="BB3" s="197">
        <v>50</v>
      </c>
      <c r="BC3" s="196">
        <v>51</v>
      </c>
      <c r="BD3" s="197">
        <v>52</v>
      </c>
      <c r="BE3" s="196">
        <v>53</v>
      </c>
      <c r="BF3" s="197">
        <v>54</v>
      </c>
      <c r="BG3" s="196">
        <v>55</v>
      </c>
      <c r="BH3" s="197">
        <v>56</v>
      </c>
      <c r="BI3" s="196">
        <v>57</v>
      </c>
      <c r="BJ3" s="197">
        <v>58</v>
      </c>
      <c r="BK3" s="196">
        <v>59</v>
      </c>
      <c r="BL3" s="197">
        <v>60</v>
      </c>
      <c r="BM3" s="196">
        <v>61</v>
      </c>
      <c r="BN3" s="197">
        <v>62</v>
      </c>
      <c r="BO3" s="196">
        <v>63</v>
      </c>
      <c r="BP3" s="197">
        <v>64</v>
      </c>
      <c r="BQ3" s="196">
        <v>65</v>
      </c>
      <c r="BR3" s="197">
        <v>66</v>
      </c>
      <c r="BS3" s="196">
        <v>67</v>
      </c>
      <c r="BT3" s="197">
        <v>68</v>
      </c>
      <c r="BU3" s="196">
        <v>69</v>
      </c>
      <c r="BV3" s="197">
        <v>70</v>
      </c>
      <c r="BW3" s="196">
        <v>71</v>
      </c>
      <c r="BX3" s="197">
        <v>72</v>
      </c>
      <c r="BY3" s="196">
        <v>73</v>
      </c>
      <c r="BZ3" s="197">
        <v>74</v>
      </c>
      <c r="CA3" s="196">
        <v>75</v>
      </c>
      <c r="CB3" s="197">
        <v>76</v>
      </c>
      <c r="CC3" s="196">
        <v>77</v>
      </c>
      <c r="CD3" s="197">
        <v>78</v>
      </c>
      <c r="CE3" s="196">
        <v>79</v>
      </c>
      <c r="CF3" s="197">
        <v>80</v>
      </c>
      <c r="CG3" s="196">
        <v>81</v>
      </c>
      <c r="CH3" s="197">
        <v>82</v>
      </c>
      <c r="CI3" s="196">
        <v>83</v>
      </c>
      <c r="CJ3" s="197">
        <v>84</v>
      </c>
      <c r="CK3" s="196">
        <v>85</v>
      </c>
      <c r="CL3" s="197">
        <v>86</v>
      </c>
      <c r="CM3" s="196">
        <v>87</v>
      </c>
      <c r="CN3" s="197">
        <v>88</v>
      </c>
      <c r="CO3" s="196">
        <v>89</v>
      </c>
      <c r="CP3" s="197">
        <v>90</v>
      </c>
      <c r="CQ3" s="196">
        <v>91</v>
      </c>
      <c r="CR3" s="197">
        <v>92</v>
      </c>
      <c r="CS3" s="196">
        <v>93</v>
      </c>
      <c r="CT3" s="197">
        <v>94</v>
      </c>
      <c r="CU3" s="196">
        <v>95</v>
      </c>
      <c r="CV3" s="197">
        <v>96</v>
      </c>
      <c r="CW3" s="196">
        <v>97</v>
      </c>
      <c r="CX3" s="197">
        <v>98</v>
      </c>
      <c r="CY3" s="1069">
        <v>99</v>
      </c>
    </row>
    <row r="4" spans="1:103" s="2" customFormat="1" ht="30" customHeight="1" x14ac:dyDescent="0.25">
      <c r="A4" s="1089" t="s">
        <v>1590</v>
      </c>
      <c r="B4" s="2692">
        <f>+FENECIMIENTO!D6</f>
        <v>2025</v>
      </c>
      <c r="C4" s="2693"/>
      <c r="D4" s="1073" t="s">
        <v>169</v>
      </c>
      <c r="E4" s="107" t="s">
        <v>457</v>
      </c>
      <c r="F4" s="108"/>
      <c r="G4" s="108"/>
      <c r="H4" s="108"/>
      <c r="I4" s="108"/>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10"/>
    </row>
    <row r="5" spans="1:103" s="2" customFormat="1" ht="30" customHeight="1" x14ac:dyDescent="0.25">
      <c r="A5" s="1090" t="s">
        <v>462</v>
      </c>
      <c r="B5" s="2694">
        <f>+FENECIMIENTO!K6</f>
        <v>87</v>
      </c>
      <c r="C5" s="2695"/>
      <c r="D5" s="1074" t="s">
        <v>171</v>
      </c>
      <c r="E5" s="111"/>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3"/>
    </row>
    <row r="6" spans="1:103" s="2" customFormat="1" ht="30" customHeight="1" x14ac:dyDescent="0.25">
      <c r="A6" s="1090" t="s">
        <v>461</v>
      </c>
      <c r="B6" s="2694">
        <f>+FENECIMIENTO!K5</f>
        <v>2024</v>
      </c>
      <c r="C6" s="2696"/>
      <c r="D6" s="1074" t="s">
        <v>172</v>
      </c>
      <c r="E6" s="114" t="s">
        <v>281</v>
      </c>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row>
    <row r="7" spans="1:103" s="2" customFormat="1" ht="30" customHeight="1" x14ac:dyDescent="0.25">
      <c r="A7" s="1090" t="s">
        <v>1638</v>
      </c>
      <c r="B7" s="2697">
        <f>ValorUniverso</f>
        <v>3857851547</v>
      </c>
      <c r="C7" s="2698"/>
      <c r="D7" s="1074" t="s">
        <v>173</v>
      </c>
      <c r="E7" s="115"/>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7"/>
    </row>
    <row r="8" spans="1:103" s="3" customFormat="1" ht="30" customHeight="1" x14ac:dyDescent="0.25">
      <c r="A8" s="1090" t="s">
        <v>1639</v>
      </c>
      <c r="B8" s="2699" t="str">
        <f>Riesgo</f>
        <v>MEDIO</v>
      </c>
      <c r="C8" s="2700"/>
      <c r="D8" s="1074" t="s">
        <v>174</v>
      </c>
      <c r="E8" s="118">
        <v>78985898</v>
      </c>
      <c r="F8" s="119">
        <v>148898989</v>
      </c>
      <c r="G8" s="119">
        <v>159800000</v>
      </c>
      <c r="H8" s="119">
        <v>258000000</v>
      </c>
      <c r="I8" s="119">
        <v>698705598</v>
      </c>
      <c r="J8" s="119">
        <v>89797989</v>
      </c>
      <c r="K8" s="119">
        <v>169826565</v>
      </c>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20"/>
    </row>
    <row r="9" spans="1:103" s="3" customFormat="1" ht="30" customHeight="1" x14ac:dyDescent="0.25">
      <c r="A9" s="1090" t="s">
        <v>170</v>
      </c>
      <c r="B9" s="2699">
        <f>Parametro_Min</f>
        <v>0.75</v>
      </c>
      <c r="C9" s="2700"/>
      <c r="D9" s="1074" t="s">
        <v>1646</v>
      </c>
      <c r="E9" s="118">
        <v>75000000</v>
      </c>
      <c r="F9" s="119">
        <v>10000000</v>
      </c>
      <c r="G9" s="119">
        <v>149800000</v>
      </c>
      <c r="H9" s="119">
        <v>258000000</v>
      </c>
      <c r="I9" s="119">
        <v>158963969</v>
      </c>
      <c r="J9" s="119">
        <v>89098989</v>
      </c>
      <c r="K9" s="119">
        <v>169826565</v>
      </c>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20"/>
    </row>
    <row r="10" spans="1:103" s="3" customFormat="1" ht="31.5" customHeight="1" x14ac:dyDescent="0.25">
      <c r="A10" s="1090" t="s">
        <v>1640</v>
      </c>
      <c r="B10" s="2697">
        <f>Muestra_Min</f>
        <v>964462886.75</v>
      </c>
      <c r="C10" s="2698"/>
      <c r="D10" s="1074" t="s">
        <v>179</v>
      </c>
      <c r="E10" s="111" t="s">
        <v>1650</v>
      </c>
      <c r="F10" s="112" t="s">
        <v>180</v>
      </c>
      <c r="G10" s="112" t="s">
        <v>181</v>
      </c>
      <c r="H10" s="112" t="s">
        <v>182</v>
      </c>
      <c r="I10" s="112" t="s">
        <v>183</v>
      </c>
      <c r="J10" s="112" t="s">
        <v>184</v>
      </c>
      <c r="K10" s="112" t="s">
        <v>185</v>
      </c>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3"/>
    </row>
    <row r="11" spans="1:103" s="4" customFormat="1" ht="37.5" hidden="1" customHeight="1" x14ac:dyDescent="0.25">
      <c r="A11" s="1090" t="s">
        <v>1641</v>
      </c>
      <c r="B11" s="2701" t="str">
        <f>IF(B12&gt;=B10,"SI CUMPLE","NO CUMPLE")</f>
        <v>NO CUMPLE</v>
      </c>
      <c r="C11" s="2702"/>
    </row>
    <row r="12" spans="1:103" s="4" customFormat="1" ht="37.5" customHeight="1" thickBot="1" x14ac:dyDescent="0.3">
      <c r="A12" s="1091" t="s">
        <v>175</v>
      </c>
      <c r="B12" s="2685">
        <f>SUM(E9:CY9)</f>
        <v>910689523</v>
      </c>
      <c r="C12" s="2686"/>
      <c r="D12" s="1074" t="s">
        <v>187</v>
      </c>
      <c r="E12" s="121" t="s">
        <v>458</v>
      </c>
      <c r="F12" s="122" t="s">
        <v>188</v>
      </c>
      <c r="G12" s="122" t="s">
        <v>189</v>
      </c>
      <c r="H12" s="122" t="s">
        <v>190</v>
      </c>
      <c r="I12" s="122" t="s">
        <v>190</v>
      </c>
      <c r="J12" s="122" t="s">
        <v>190</v>
      </c>
      <c r="K12" s="122" t="s">
        <v>191</v>
      </c>
      <c r="L12" s="122" t="s">
        <v>191</v>
      </c>
      <c r="M12" s="122" t="s">
        <v>190</v>
      </c>
      <c r="N12" s="122" t="s">
        <v>190</v>
      </c>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3"/>
    </row>
    <row r="13" spans="1:103" s="4" customFormat="1" ht="35.25" customHeight="1" thickBot="1" x14ac:dyDescent="0.3">
      <c r="A13" s="2684" t="s">
        <v>176</v>
      </c>
      <c r="B13" s="2684" t="s">
        <v>177</v>
      </c>
      <c r="C13" s="2703" t="s">
        <v>178</v>
      </c>
      <c r="D13" s="1075" t="s">
        <v>193</v>
      </c>
      <c r="E13" s="121" t="s">
        <v>1651</v>
      </c>
      <c r="F13" s="122" t="s">
        <v>1652</v>
      </c>
      <c r="G13" s="122" t="s">
        <v>1653</v>
      </c>
      <c r="H13" s="122" t="s">
        <v>1654</v>
      </c>
      <c r="I13" s="122" t="s">
        <v>1654</v>
      </c>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3"/>
    </row>
    <row r="14" spans="1:103" s="3" customFormat="1" ht="30" customHeight="1" thickBot="1" x14ac:dyDescent="0.3">
      <c r="A14" s="2684"/>
      <c r="B14" s="2684"/>
      <c r="C14" s="2703"/>
      <c r="D14" s="1075" t="s">
        <v>195</v>
      </c>
      <c r="E14" s="124" t="s">
        <v>435</v>
      </c>
      <c r="F14" s="124" t="s">
        <v>435</v>
      </c>
      <c r="G14" s="124" t="s">
        <v>196</v>
      </c>
      <c r="H14" s="124" t="s">
        <v>197</v>
      </c>
      <c r="I14" s="124" t="s">
        <v>196</v>
      </c>
      <c r="J14" s="124" t="s">
        <v>196</v>
      </c>
      <c r="K14" s="124" t="s">
        <v>197</v>
      </c>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067"/>
    </row>
    <row r="15" spans="1:103" s="3" customFormat="1" ht="30" customHeight="1" x14ac:dyDescent="0.25">
      <c r="A15" s="1078" t="s">
        <v>186</v>
      </c>
      <c r="B15" s="1086" t="str">
        <f>IF(C15="","",IF(C15&gt;=$B$9,"ECONOMICO","ANTIECONOMICO"))</f>
        <v>ANTIECONOMICO</v>
      </c>
      <c r="C15" s="1082">
        <f>IFERROR(IF(_ECONOMIA_CONTRATACION&lt;0,"",_ECONOMIA_CONTRATACION),"")</f>
        <v>0.66146571308382851</v>
      </c>
      <c r="D15" s="1075" t="s">
        <v>198</v>
      </c>
      <c r="E15" s="125">
        <f t="shared" ref="E15:AJ15" si="0">IFERROR(E9/$B$12,"")</f>
        <v>8.2355180449352763E-2</v>
      </c>
      <c r="F15" s="126">
        <f t="shared" si="0"/>
        <v>1.098069072658037E-2</v>
      </c>
      <c r="G15" s="126">
        <f t="shared" si="0"/>
        <v>0.16449074708417394</v>
      </c>
      <c r="H15" s="126">
        <f t="shared" si="0"/>
        <v>0.28330182074577354</v>
      </c>
      <c r="I15" s="126">
        <f t="shared" si="0"/>
        <v>0.17455341802587093</v>
      </c>
      <c r="J15" s="126">
        <f t="shared" si="0"/>
        <v>9.7836844225998629E-2</v>
      </c>
      <c r="K15" s="126">
        <f t="shared" si="0"/>
        <v>0.18648129874224983</v>
      </c>
      <c r="L15" s="126">
        <f t="shared" si="0"/>
        <v>0</v>
      </c>
      <c r="M15" s="126">
        <f t="shared" si="0"/>
        <v>0</v>
      </c>
      <c r="N15" s="126">
        <f t="shared" si="0"/>
        <v>0</v>
      </c>
      <c r="O15" s="126">
        <f t="shared" si="0"/>
        <v>0</v>
      </c>
      <c r="P15" s="126">
        <f t="shared" si="0"/>
        <v>0</v>
      </c>
      <c r="Q15" s="126">
        <f t="shared" si="0"/>
        <v>0</v>
      </c>
      <c r="R15" s="126">
        <f t="shared" si="0"/>
        <v>0</v>
      </c>
      <c r="S15" s="126">
        <f t="shared" si="0"/>
        <v>0</v>
      </c>
      <c r="T15" s="126">
        <f t="shared" si="0"/>
        <v>0</v>
      </c>
      <c r="U15" s="126">
        <f t="shared" si="0"/>
        <v>0</v>
      </c>
      <c r="V15" s="126">
        <f t="shared" si="0"/>
        <v>0</v>
      </c>
      <c r="W15" s="126">
        <f t="shared" si="0"/>
        <v>0</v>
      </c>
      <c r="X15" s="126">
        <f t="shared" si="0"/>
        <v>0</v>
      </c>
      <c r="Y15" s="126">
        <f t="shared" si="0"/>
        <v>0</v>
      </c>
      <c r="Z15" s="126">
        <f t="shared" si="0"/>
        <v>0</v>
      </c>
      <c r="AA15" s="126">
        <f t="shared" si="0"/>
        <v>0</v>
      </c>
      <c r="AB15" s="126">
        <f t="shared" si="0"/>
        <v>0</v>
      </c>
      <c r="AC15" s="126">
        <f t="shared" si="0"/>
        <v>0</v>
      </c>
      <c r="AD15" s="126">
        <f t="shared" si="0"/>
        <v>0</v>
      </c>
      <c r="AE15" s="126">
        <f t="shared" si="0"/>
        <v>0</v>
      </c>
      <c r="AF15" s="126">
        <f t="shared" si="0"/>
        <v>0</v>
      </c>
      <c r="AG15" s="126">
        <f t="shared" si="0"/>
        <v>0</v>
      </c>
      <c r="AH15" s="126">
        <f t="shared" si="0"/>
        <v>0</v>
      </c>
      <c r="AI15" s="126">
        <f t="shared" si="0"/>
        <v>0</v>
      </c>
      <c r="AJ15" s="126">
        <f t="shared" si="0"/>
        <v>0</v>
      </c>
      <c r="AK15" s="126">
        <f t="shared" ref="AK15:BP15" si="1">IFERROR(AK9/$B$12,"")</f>
        <v>0</v>
      </c>
      <c r="AL15" s="126">
        <f t="shared" si="1"/>
        <v>0</v>
      </c>
      <c r="AM15" s="126">
        <f t="shared" si="1"/>
        <v>0</v>
      </c>
      <c r="AN15" s="126">
        <f t="shared" si="1"/>
        <v>0</v>
      </c>
      <c r="AO15" s="126">
        <f t="shared" si="1"/>
        <v>0</v>
      </c>
      <c r="AP15" s="126">
        <f t="shared" si="1"/>
        <v>0</v>
      </c>
      <c r="AQ15" s="126">
        <f t="shared" si="1"/>
        <v>0</v>
      </c>
      <c r="AR15" s="126">
        <f t="shared" si="1"/>
        <v>0</v>
      </c>
      <c r="AS15" s="126">
        <f t="shared" si="1"/>
        <v>0</v>
      </c>
      <c r="AT15" s="126">
        <f t="shared" si="1"/>
        <v>0</v>
      </c>
      <c r="AU15" s="126">
        <f t="shared" si="1"/>
        <v>0</v>
      </c>
      <c r="AV15" s="126">
        <f t="shared" si="1"/>
        <v>0</v>
      </c>
      <c r="AW15" s="126">
        <f t="shared" si="1"/>
        <v>0</v>
      </c>
      <c r="AX15" s="126">
        <f t="shared" si="1"/>
        <v>0</v>
      </c>
      <c r="AY15" s="126">
        <f t="shared" si="1"/>
        <v>0</v>
      </c>
      <c r="AZ15" s="126">
        <f t="shared" si="1"/>
        <v>0</v>
      </c>
      <c r="BA15" s="126">
        <f t="shared" si="1"/>
        <v>0</v>
      </c>
      <c r="BB15" s="126">
        <f t="shared" si="1"/>
        <v>0</v>
      </c>
      <c r="BC15" s="126">
        <f t="shared" si="1"/>
        <v>0</v>
      </c>
      <c r="BD15" s="126">
        <f t="shared" si="1"/>
        <v>0</v>
      </c>
      <c r="BE15" s="126">
        <f t="shared" si="1"/>
        <v>0</v>
      </c>
      <c r="BF15" s="126">
        <f t="shared" si="1"/>
        <v>0</v>
      </c>
      <c r="BG15" s="126">
        <f t="shared" si="1"/>
        <v>0</v>
      </c>
      <c r="BH15" s="126">
        <f t="shared" si="1"/>
        <v>0</v>
      </c>
      <c r="BI15" s="126">
        <f t="shared" si="1"/>
        <v>0</v>
      </c>
      <c r="BJ15" s="126">
        <f t="shared" si="1"/>
        <v>0</v>
      </c>
      <c r="BK15" s="126">
        <f t="shared" si="1"/>
        <v>0</v>
      </c>
      <c r="BL15" s="126">
        <f t="shared" si="1"/>
        <v>0</v>
      </c>
      <c r="BM15" s="126">
        <f t="shared" si="1"/>
        <v>0</v>
      </c>
      <c r="BN15" s="126">
        <f t="shared" si="1"/>
        <v>0</v>
      </c>
      <c r="BO15" s="126">
        <f t="shared" si="1"/>
        <v>0</v>
      </c>
      <c r="BP15" s="126">
        <f t="shared" si="1"/>
        <v>0</v>
      </c>
      <c r="BQ15" s="126">
        <f t="shared" ref="BQ15:CY15" si="2">IFERROR(BQ9/$B$12,"")</f>
        <v>0</v>
      </c>
      <c r="BR15" s="126">
        <f t="shared" si="2"/>
        <v>0</v>
      </c>
      <c r="BS15" s="126">
        <f t="shared" si="2"/>
        <v>0</v>
      </c>
      <c r="BT15" s="126">
        <f t="shared" si="2"/>
        <v>0</v>
      </c>
      <c r="BU15" s="126">
        <f t="shared" si="2"/>
        <v>0</v>
      </c>
      <c r="BV15" s="126">
        <f t="shared" si="2"/>
        <v>0</v>
      </c>
      <c r="BW15" s="126">
        <f t="shared" si="2"/>
        <v>0</v>
      </c>
      <c r="BX15" s="126">
        <f t="shared" si="2"/>
        <v>0</v>
      </c>
      <c r="BY15" s="126">
        <f t="shared" si="2"/>
        <v>0</v>
      </c>
      <c r="BZ15" s="126">
        <f t="shared" si="2"/>
        <v>0</v>
      </c>
      <c r="CA15" s="126">
        <f t="shared" si="2"/>
        <v>0</v>
      </c>
      <c r="CB15" s="126">
        <f t="shared" si="2"/>
        <v>0</v>
      </c>
      <c r="CC15" s="126">
        <f t="shared" si="2"/>
        <v>0</v>
      </c>
      <c r="CD15" s="126">
        <f t="shared" si="2"/>
        <v>0</v>
      </c>
      <c r="CE15" s="126">
        <f t="shared" si="2"/>
        <v>0</v>
      </c>
      <c r="CF15" s="126">
        <f t="shared" si="2"/>
        <v>0</v>
      </c>
      <c r="CG15" s="126">
        <f t="shared" si="2"/>
        <v>0</v>
      </c>
      <c r="CH15" s="126">
        <f t="shared" si="2"/>
        <v>0</v>
      </c>
      <c r="CI15" s="126">
        <f t="shared" si="2"/>
        <v>0</v>
      </c>
      <c r="CJ15" s="126">
        <f t="shared" si="2"/>
        <v>0</v>
      </c>
      <c r="CK15" s="126">
        <f t="shared" si="2"/>
        <v>0</v>
      </c>
      <c r="CL15" s="126">
        <f t="shared" si="2"/>
        <v>0</v>
      </c>
      <c r="CM15" s="126">
        <f t="shared" si="2"/>
        <v>0</v>
      </c>
      <c r="CN15" s="126">
        <f t="shared" si="2"/>
        <v>0</v>
      </c>
      <c r="CO15" s="126">
        <f t="shared" si="2"/>
        <v>0</v>
      </c>
      <c r="CP15" s="126">
        <f t="shared" si="2"/>
        <v>0</v>
      </c>
      <c r="CQ15" s="126">
        <f t="shared" si="2"/>
        <v>0</v>
      </c>
      <c r="CR15" s="126">
        <f t="shared" si="2"/>
        <v>0</v>
      </c>
      <c r="CS15" s="126">
        <f t="shared" si="2"/>
        <v>0</v>
      </c>
      <c r="CT15" s="126">
        <f t="shared" si="2"/>
        <v>0</v>
      </c>
      <c r="CU15" s="126">
        <f t="shared" si="2"/>
        <v>0</v>
      </c>
      <c r="CV15" s="126">
        <f t="shared" si="2"/>
        <v>0</v>
      </c>
      <c r="CW15" s="126">
        <f t="shared" si="2"/>
        <v>0</v>
      </c>
      <c r="CX15" s="126">
        <f t="shared" si="2"/>
        <v>0</v>
      </c>
      <c r="CY15" s="1068">
        <f t="shared" si="2"/>
        <v>0</v>
      </c>
    </row>
    <row r="16" spans="1:103" s="3" customFormat="1" ht="35.25" customHeight="1" x14ac:dyDescent="0.25">
      <c r="A16" s="1079" t="s">
        <v>192</v>
      </c>
      <c r="B16" s="1079" t="str">
        <f>IF(C16="","",IF(C16&gt;=$B$9,"EFICAZ","INEFICAZ"))</f>
        <v>INEFICAZ</v>
      </c>
      <c r="C16" s="1083">
        <f>IFERROR(IF(_EFICACIA_CONTRATACION&lt;0,"",_EFICACIA_CONTRATACION),"")</f>
        <v>0.64360328463105687</v>
      </c>
      <c r="D16" s="1075" t="s">
        <v>200</v>
      </c>
      <c r="E16" s="127" t="s">
        <v>297</v>
      </c>
      <c r="F16" s="127" t="s">
        <v>297</v>
      </c>
      <c r="G16" s="127" t="s">
        <v>298</v>
      </c>
      <c r="H16" s="127" t="s">
        <v>294</v>
      </c>
      <c r="I16" s="127" t="s">
        <v>202</v>
      </c>
      <c r="J16" s="127" t="s">
        <v>202</v>
      </c>
      <c r="K16" s="127" t="s">
        <v>202</v>
      </c>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8"/>
    </row>
    <row r="17" spans="1:103" s="5" customFormat="1" ht="30" customHeight="1" thickBot="1" x14ac:dyDescent="0.3">
      <c r="A17" s="1080" t="s">
        <v>194</v>
      </c>
      <c r="B17" s="1087" t="str">
        <f>IF(C17="","",IF(C17&gt;=$B$9,"EFICIENTE","DEFICIENTE"))</f>
        <v>DEFICIENTE</v>
      </c>
      <c r="C17" s="1084">
        <f>IFERROR(IF(_EFICIENCIA_CONTRATACION&lt;0,"",_EFICIENCIA_CONTRATACION),"")</f>
        <v>0.64836716083900015</v>
      </c>
      <c r="D17" s="1075" t="s">
        <v>1647</v>
      </c>
      <c r="E17" s="129">
        <v>70000000</v>
      </c>
      <c r="F17" s="130">
        <v>9000000</v>
      </c>
      <c r="G17" s="130">
        <v>130000000</v>
      </c>
      <c r="H17" s="130">
        <v>120000000</v>
      </c>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1"/>
    </row>
    <row r="18" spans="1:103" s="5" customFormat="1" ht="33.75" customHeight="1" thickBot="1" x14ac:dyDescent="0.3">
      <c r="A18" s="1081" t="s">
        <v>199</v>
      </c>
      <c r="B18" s="1088" t="str">
        <f>IFERROR(
IF(AND(C18&gt;=$B$9,OR(B15&lt;&gt;"ECONOMICO",B16&lt;&gt;"EFICAZ",B17&lt;&gt;"EFICIENTE")),"MODERADAMENTE EFECTIVO",
IF($B$8="BAJO",VLOOKUP($C$18,TablaConcepto[],4,TRUE),IF($B$8="MEDIO",VLOOKUP($C$18,TablaConcepto[[MEDIO]:[Concepto]],3,TRUE),VLOOKUP($C$18,TablaConcepto[[ALTO]:[Concepto]],2,TRUE)))),
"")</f>
        <v>DESFAVORABLE</v>
      </c>
      <c r="C18" s="1085">
        <f>IFERROR(AVERAGE(C15:C17),"")</f>
        <v>0.65114538618462847</v>
      </c>
      <c r="D18" s="1076" t="s">
        <v>205</v>
      </c>
      <c r="E18" s="132"/>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4"/>
    </row>
    <row r="19" spans="1:103" s="6" customFormat="1" ht="35.25" customHeight="1" x14ac:dyDescent="0.25"/>
    <row r="20" spans="1:103" s="7" customFormat="1" ht="25.5" customHeight="1" thickBot="1" x14ac:dyDescent="0.3">
      <c r="A20" s="5"/>
      <c r="B20" s="1017" t="b">
        <f>AND(C18&gt;=B9,OR(B15&lt;&gt;"ECONOMICO",B16&lt;&gt;"EFICAZ",B17&lt;&gt;"EFICIENTE"))</f>
        <v>0</v>
      </c>
      <c r="C20" s="5"/>
      <c r="D20" s="135"/>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row>
    <row r="21" spans="1:103" s="8" customFormat="1" ht="24.75" thickBot="1" x14ac:dyDescent="0.3">
      <c r="A21" s="1018" t="s">
        <v>206</v>
      </c>
      <c r="B21" s="1019" t="s">
        <v>207</v>
      </c>
      <c r="C21" s="1019" t="s">
        <v>208</v>
      </c>
      <c r="D21" s="1020" t="s">
        <v>209</v>
      </c>
      <c r="E21" s="138" t="s">
        <v>210</v>
      </c>
      <c r="F21" s="139" t="s">
        <v>210</v>
      </c>
      <c r="G21" s="139" t="s">
        <v>210</v>
      </c>
      <c r="H21" s="139" t="s">
        <v>210</v>
      </c>
      <c r="I21" s="139" t="s">
        <v>210</v>
      </c>
      <c r="J21" s="139" t="s">
        <v>210</v>
      </c>
      <c r="K21" s="139" t="s">
        <v>210</v>
      </c>
      <c r="L21" s="139" t="s">
        <v>210</v>
      </c>
      <c r="M21" s="139" t="s">
        <v>210</v>
      </c>
      <c r="N21" s="139" t="s">
        <v>210</v>
      </c>
      <c r="O21" s="139" t="s">
        <v>210</v>
      </c>
      <c r="P21" s="139" t="s">
        <v>210</v>
      </c>
      <c r="Q21" s="139" t="s">
        <v>210</v>
      </c>
      <c r="R21" s="139" t="s">
        <v>210</v>
      </c>
      <c r="S21" s="139" t="s">
        <v>210</v>
      </c>
      <c r="T21" s="139" t="s">
        <v>210</v>
      </c>
      <c r="U21" s="139" t="s">
        <v>210</v>
      </c>
      <c r="V21" s="139" t="s">
        <v>210</v>
      </c>
      <c r="W21" s="139" t="s">
        <v>210</v>
      </c>
      <c r="X21" s="139" t="s">
        <v>210</v>
      </c>
      <c r="Y21" s="139" t="s">
        <v>210</v>
      </c>
      <c r="Z21" s="139" t="s">
        <v>210</v>
      </c>
      <c r="AA21" s="139" t="s">
        <v>210</v>
      </c>
      <c r="AB21" s="139" t="s">
        <v>210</v>
      </c>
      <c r="AC21" s="139" t="s">
        <v>210</v>
      </c>
      <c r="AD21" s="139" t="s">
        <v>210</v>
      </c>
      <c r="AE21" s="139" t="s">
        <v>210</v>
      </c>
      <c r="AF21" s="139" t="s">
        <v>210</v>
      </c>
      <c r="AG21" s="139" t="s">
        <v>210</v>
      </c>
      <c r="AH21" s="139" t="s">
        <v>210</v>
      </c>
      <c r="AI21" s="139" t="s">
        <v>210</v>
      </c>
      <c r="AJ21" s="139" t="s">
        <v>210</v>
      </c>
      <c r="AK21" s="139" t="s">
        <v>210</v>
      </c>
      <c r="AL21" s="139" t="s">
        <v>210</v>
      </c>
      <c r="AM21" s="139" t="s">
        <v>210</v>
      </c>
      <c r="AN21" s="139" t="s">
        <v>210</v>
      </c>
      <c r="AO21" s="139" t="s">
        <v>210</v>
      </c>
      <c r="AP21" s="139" t="s">
        <v>210</v>
      </c>
      <c r="AQ21" s="139" t="s">
        <v>210</v>
      </c>
      <c r="AR21" s="139" t="s">
        <v>210</v>
      </c>
      <c r="AS21" s="139" t="s">
        <v>210</v>
      </c>
      <c r="AT21" s="139" t="s">
        <v>210</v>
      </c>
      <c r="AU21" s="139" t="s">
        <v>210</v>
      </c>
      <c r="AV21" s="139" t="s">
        <v>210</v>
      </c>
      <c r="AW21" s="139" t="s">
        <v>210</v>
      </c>
      <c r="AX21" s="139" t="s">
        <v>210</v>
      </c>
      <c r="AY21" s="139" t="s">
        <v>210</v>
      </c>
      <c r="AZ21" s="139" t="s">
        <v>210</v>
      </c>
      <c r="BA21" s="139" t="s">
        <v>210</v>
      </c>
      <c r="BB21" s="139" t="s">
        <v>210</v>
      </c>
      <c r="BC21" s="139" t="s">
        <v>210</v>
      </c>
      <c r="BD21" s="139" t="s">
        <v>210</v>
      </c>
      <c r="BE21" s="139" t="s">
        <v>210</v>
      </c>
      <c r="BF21" s="139" t="s">
        <v>210</v>
      </c>
      <c r="BG21" s="139" t="s">
        <v>210</v>
      </c>
      <c r="BH21" s="139" t="s">
        <v>210</v>
      </c>
      <c r="BI21" s="139" t="s">
        <v>210</v>
      </c>
      <c r="BJ21" s="139" t="s">
        <v>210</v>
      </c>
      <c r="BK21" s="139" t="s">
        <v>210</v>
      </c>
      <c r="BL21" s="139" t="s">
        <v>210</v>
      </c>
      <c r="BM21" s="139" t="s">
        <v>210</v>
      </c>
      <c r="BN21" s="139" t="s">
        <v>210</v>
      </c>
      <c r="BO21" s="139" t="s">
        <v>210</v>
      </c>
      <c r="BP21" s="139" t="s">
        <v>210</v>
      </c>
      <c r="BQ21" s="139" t="s">
        <v>210</v>
      </c>
      <c r="BR21" s="139" t="s">
        <v>210</v>
      </c>
      <c r="BS21" s="139" t="s">
        <v>210</v>
      </c>
      <c r="BT21" s="139" t="s">
        <v>210</v>
      </c>
      <c r="BU21" s="139" t="s">
        <v>210</v>
      </c>
      <c r="BV21" s="139" t="s">
        <v>210</v>
      </c>
      <c r="BW21" s="139" t="s">
        <v>210</v>
      </c>
      <c r="BX21" s="139" t="s">
        <v>210</v>
      </c>
      <c r="BY21" s="139" t="s">
        <v>210</v>
      </c>
      <c r="BZ21" s="139" t="s">
        <v>210</v>
      </c>
      <c r="CA21" s="139" t="s">
        <v>210</v>
      </c>
      <c r="CB21" s="139" t="s">
        <v>210</v>
      </c>
      <c r="CC21" s="139" t="s">
        <v>210</v>
      </c>
      <c r="CD21" s="139" t="s">
        <v>210</v>
      </c>
      <c r="CE21" s="139" t="s">
        <v>210</v>
      </c>
      <c r="CF21" s="139" t="s">
        <v>210</v>
      </c>
      <c r="CG21" s="139" t="s">
        <v>210</v>
      </c>
      <c r="CH21" s="139" t="s">
        <v>210</v>
      </c>
      <c r="CI21" s="139" t="s">
        <v>210</v>
      </c>
      <c r="CJ21" s="139" t="s">
        <v>210</v>
      </c>
      <c r="CK21" s="139" t="s">
        <v>210</v>
      </c>
      <c r="CL21" s="139" t="s">
        <v>210</v>
      </c>
      <c r="CM21" s="139" t="s">
        <v>210</v>
      </c>
      <c r="CN21" s="139" t="s">
        <v>210</v>
      </c>
      <c r="CO21" s="139" t="s">
        <v>210</v>
      </c>
      <c r="CP21" s="139" t="s">
        <v>210</v>
      </c>
      <c r="CQ21" s="139" t="s">
        <v>210</v>
      </c>
      <c r="CR21" s="139" t="s">
        <v>210</v>
      </c>
      <c r="CS21" s="139" t="s">
        <v>210</v>
      </c>
      <c r="CT21" s="139" t="s">
        <v>210</v>
      </c>
      <c r="CU21" s="139" t="s">
        <v>210</v>
      </c>
      <c r="CV21" s="139" t="s">
        <v>210</v>
      </c>
      <c r="CW21" s="139" t="s">
        <v>210</v>
      </c>
      <c r="CX21" s="139" t="s">
        <v>210</v>
      </c>
      <c r="CY21" s="140" t="s">
        <v>210</v>
      </c>
    </row>
    <row r="22" spans="1:103" s="1" customFormat="1" ht="87" customHeight="1" x14ac:dyDescent="0.25">
      <c r="A22" s="2674" t="s">
        <v>211</v>
      </c>
      <c r="B22" s="141" t="s">
        <v>212</v>
      </c>
      <c r="C22" s="142" t="s">
        <v>192</v>
      </c>
      <c r="D22" s="143" t="s">
        <v>213</v>
      </c>
      <c r="E22" s="144">
        <v>1</v>
      </c>
      <c r="F22" s="145">
        <v>0.9</v>
      </c>
      <c r="G22" s="145">
        <v>0.3</v>
      </c>
      <c r="H22" s="145">
        <v>1</v>
      </c>
      <c r="I22" s="145">
        <v>1</v>
      </c>
      <c r="J22" s="145">
        <v>1</v>
      </c>
      <c r="K22" s="145">
        <v>1</v>
      </c>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6"/>
    </row>
    <row r="23" spans="1:103" s="1" customFormat="1" ht="96.75" customHeight="1" x14ac:dyDescent="0.25">
      <c r="A23" s="2675"/>
      <c r="B23" s="141" t="s">
        <v>214</v>
      </c>
      <c r="C23" s="142" t="s">
        <v>192</v>
      </c>
      <c r="D23" s="143" t="s">
        <v>215</v>
      </c>
      <c r="E23" s="147">
        <v>1</v>
      </c>
      <c r="F23" s="148">
        <v>1</v>
      </c>
      <c r="G23" s="148">
        <v>1</v>
      </c>
      <c r="H23" s="148">
        <v>1</v>
      </c>
      <c r="I23" s="148">
        <v>1</v>
      </c>
      <c r="J23" s="148">
        <v>0.9</v>
      </c>
      <c r="K23" s="148">
        <v>0.9</v>
      </c>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9"/>
    </row>
    <row r="24" spans="1:103" s="1" customFormat="1" ht="69" customHeight="1" x14ac:dyDescent="0.25">
      <c r="A24" s="2675"/>
      <c r="B24" s="141" t="s">
        <v>216</v>
      </c>
      <c r="C24" s="142" t="s">
        <v>186</v>
      </c>
      <c r="D24" s="143" t="s">
        <v>217</v>
      </c>
      <c r="E24" s="147">
        <v>1</v>
      </c>
      <c r="F24" s="148">
        <v>0.9</v>
      </c>
      <c r="G24" s="148">
        <v>0.9</v>
      </c>
      <c r="H24" s="148">
        <v>0.9</v>
      </c>
      <c r="I24" s="148">
        <v>1</v>
      </c>
      <c r="J24" s="148">
        <v>1</v>
      </c>
      <c r="K24" s="148">
        <v>1</v>
      </c>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9"/>
    </row>
    <row r="25" spans="1:103" s="1" customFormat="1" ht="45" customHeight="1" x14ac:dyDescent="0.25">
      <c r="A25" s="2675"/>
      <c r="B25" s="141" t="s">
        <v>218</v>
      </c>
      <c r="C25" s="142" t="s">
        <v>192</v>
      </c>
      <c r="D25" s="143" t="s">
        <v>219</v>
      </c>
      <c r="E25" s="147">
        <v>1</v>
      </c>
      <c r="F25" s="148">
        <v>1</v>
      </c>
      <c r="G25" s="148">
        <v>0.85</v>
      </c>
      <c r="H25" s="148"/>
      <c r="I25" s="148">
        <v>1</v>
      </c>
      <c r="J25" s="148">
        <v>0.8</v>
      </c>
      <c r="K25" s="148">
        <v>0.8</v>
      </c>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9"/>
    </row>
    <row r="26" spans="1:103" s="1" customFormat="1" ht="70.5" customHeight="1" x14ac:dyDescent="0.25">
      <c r="A26" s="2675"/>
      <c r="B26" s="2677" t="s">
        <v>220</v>
      </c>
      <c r="C26" s="142" t="s">
        <v>186</v>
      </c>
      <c r="D26" s="143" t="s">
        <v>221</v>
      </c>
      <c r="E26" s="147">
        <v>1</v>
      </c>
      <c r="F26" s="148">
        <v>0.9</v>
      </c>
      <c r="G26" s="148">
        <v>0.85</v>
      </c>
      <c r="H26" s="148">
        <v>1</v>
      </c>
      <c r="I26" s="148">
        <v>1</v>
      </c>
      <c r="J26" s="148">
        <v>0.8</v>
      </c>
      <c r="K26" s="148">
        <v>0.8</v>
      </c>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9"/>
    </row>
    <row r="27" spans="1:103" s="1" customFormat="1" ht="70.5" customHeight="1" x14ac:dyDescent="0.25">
      <c r="A27" s="2675"/>
      <c r="B27" s="2678"/>
      <c r="C27" s="142" t="s">
        <v>192</v>
      </c>
      <c r="D27" s="143" t="s">
        <v>222</v>
      </c>
      <c r="E27" s="147">
        <v>1</v>
      </c>
      <c r="F27" s="148">
        <v>1</v>
      </c>
      <c r="G27" s="148">
        <v>0.8</v>
      </c>
      <c r="H27" s="148"/>
      <c r="I27" s="148">
        <v>1</v>
      </c>
      <c r="J27" s="148">
        <v>1</v>
      </c>
      <c r="K27" s="148">
        <v>1</v>
      </c>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9"/>
    </row>
    <row r="28" spans="1:103" s="1" customFormat="1" ht="61.5" customHeight="1" x14ac:dyDescent="0.25">
      <c r="A28" s="2675"/>
      <c r="B28" s="2679"/>
      <c r="C28" s="142" t="s">
        <v>186</v>
      </c>
      <c r="D28" s="143" t="s">
        <v>223</v>
      </c>
      <c r="E28" s="147">
        <v>1</v>
      </c>
      <c r="F28" s="148">
        <v>0.9</v>
      </c>
      <c r="G28" s="148">
        <v>1</v>
      </c>
      <c r="H28" s="148"/>
      <c r="I28" s="148">
        <v>1</v>
      </c>
      <c r="J28" s="148">
        <v>1</v>
      </c>
      <c r="K28" s="148">
        <v>1</v>
      </c>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9"/>
    </row>
    <row r="29" spans="1:103" s="1" customFormat="1" ht="55.5" customHeight="1" x14ac:dyDescent="0.25">
      <c r="A29" s="2675"/>
      <c r="B29" s="2680" t="s">
        <v>224</v>
      </c>
      <c r="C29" s="142" t="s">
        <v>186</v>
      </c>
      <c r="D29" s="143" t="s">
        <v>225</v>
      </c>
      <c r="E29" s="147">
        <v>1</v>
      </c>
      <c r="F29" s="148">
        <v>0.85</v>
      </c>
      <c r="G29" s="148">
        <v>0.9</v>
      </c>
      <c r="H29" s="148">
        <v>1</v>
      </c>
      <c r="I29" s="148">
        <v>1</v>
      </c>
      <c r="J29" s="148">
        <v>1</v>
      </c>
      <c r="K29" s="148">
        <v>1</v>
      </c>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9"/>
    </row>
    <row r="30" spans="1:103" s="1" customFormat="1" ht="35.25" customHeight="1" x14ac:dyDescent="0.25">
      <c r="A30" s="2675"/>
      <c r="B30" s="2680"/>
      <c r="C30" s="142" t="s">
        <v>226</v>
      </c>
      <c r="D30" s="2681" t="s">
        <v>227</v>
      </c>
      <c r="E30" s="147">
        <v>1</v>
      </c>
      <c r="F30" s="148">
        <v>0.9</v>
      </c>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9"/>
    </row>
    <row r="31" spans="1:103" s="1" customFormat="1" ht="32.25" customHeight="1" x14ac:dyDescent="0.25">
      <c r="A31" s="2675"/>
      <c r="B31" s="2680"/>
      <c r="C31" s="142" t="s">
        <v>192</v>
      </c>
      <c r="D31" s="2682"/>
      <c r="E31" s="147">
        <v>1</v>
      </c>
      <c r="F31" s="148">
        <v>1</v>
      </c>
      <c r="G31" s="148">
        <v>0.8</v>
      </c>
      <c r="H31" s="148">
        <v>0.9</v>
      </c>
      <c r="I31" s="148">
        <v>1</v>
      </c>
      <c r="J31" s="148">
        <v>0.7</v>
      </c>
      <c r="K31" s="148">
        <v>0.7</v>
      </c>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9"/>
    </row>
    <row r="32" spans="1:103" s="1" customFormat="1" ht="75.75" customHeight="1" x14ac:dyDescent="0.25">
      <c r="A32" s="2675"/>
      <c r="B32" s="2680"/>
      <c r="C32" s="142" t="s">
        <v>192</v>
      </c>
      <c r="D32" s="143" t="s">
        <v>228</v>
      </c>
      <c r="E32" s="147"/>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9"/>
    </row>
    <row r="33" spans="1:103" s="1" customFormat="1" ht="69.75" customHeight="1" x14ac:dyDescent="0.25">
      <c r="A33" s="2675"/>
      <c r="B33" s="2680" t="s">
        <v>229</v>
      </c>
      <c r="C33" s="142" t="s">
        <v>192</v>
      </c>
      <c r="D33" s="143" t="s">
        <v>230</v>
      </c>
      <c r="E33" s="147"/>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9"/>
    </row>
    <row r="34" spans="1:103" s="1" customFormat="1" ht="48" customHeight="1" x14ac:dyDescent="0.25">
      <c r="A34" s="2675"/>
      <c r="B34" s="2680"/>
      <c r="C34" s="142" t="s">
        <v>186</v>
      </c>
      <c r="D34" s="143" t="s">
        <v>231</v>
      </c>
      <c r="E34" s="147">
        <v>1</v>
      </c>
      <c r="F34" s="148">
        <v>0.9</v>
      </c>
      <c r="G34" s="148">
        <v>0.7</v>
      </c>
      <c r="H34" s="148">
        <v>0.9</v>
      </c>
      <c r="I34" s="148">
        <v>1</v>
      </c>
      <c r="J34" s="148">
        <v>1</v>
      </c>
      <c r="K34" s="148">
        <v>1</v>
      </c>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9"/>
    </row>
    <row r="35" spans="1:103" s="1" customFormat="1" ht="30" customHeight="1" x14ac:dyDescent="0.25">
      <c r="A35" s="2675"/>
      <c r="B35" s="2680"/>
      <c r="C35" s="142" t="s">
        <v>186</v>
      </c>
      <c r="D35" s="2681" t="s">
        <v>232</v>
      </c>
      <c r="E35" s="147"/>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9"/>
    </row>
    <row r="36" spans="1:103" s="1" customFormat="1" ht="30.75" customHeight="1" x14ac:dyDescent="0.25">
      <c r="A36" s="2676"/>
      <c r="B36" s="2680"/>
      <c r="C36" s="142" t="s">
        <v>192</v>
      </c>
      <c r="D36" s="2682"/>
      <c r="E36" s="147">
        <v>1</v>
      </c>
      <c r="F36" s="148">
        <v>1</v>
      </c>
      <c r="G36" s="148">
        <v>1</v>
      </c>
      <c r="H36" s="148">
        <v>1</v>
      </c>
      <c r="I36" s="148">
        <v>1</v>
      </c>
      <c r="J36" s="148">
        <v>1</v>
      </c>
      <c r="K36" s="148">
        <v>1</v>
      </c>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8"/>
      <c r="CF36" s="148"/>
      <c r="CG36" s="148"/>
      <c r="CH36" s="148"/>
      <c r="CI36" s="148"/>
      <c r="CJ36" s="148"/>
      <c r="CK36" s="148"/>
      <c r="CL36" s="148"/>
      <c r="CM36" s="148"/>
      <c r="CN36" s="148"/>
      <c r="CO36" s="148"/>
      <c r="CP36" s="148"/>
      <c r="CQ36" s="148"/>
      <c r="CR36" s="148"/>
      <c r="CS36" s="148"/>
      <c r="CT36" s="148"/>
      <c r="CU36" s="148"/>
      <c r="CV36" s="148"/>
      <c r="CW36" s="148"/>
      <c r="CX36" s="148"/>
      <c r="CY36" s="149"/>
    </row>
    <row r="37" spans="1:103" s="1" customFormat="1" ht="59.25" customHeight="1" x14ac:dyDescent="0.25">
      <c r="A37" s="2683" t="s">
        <v>233</v>
      </c>
      <c r="B37" s="2673" t="s">
        <v>234</v>
      </c>
      <c r="C37" s="150" t="s">
        <v>192</v>
      </c>
      <c r="D37" s="151" t="s">
        <v>235</v>
      </c>
      <c r="E37" s="246">
        <v>0.9</v>
      </c>
      <c r="F37" s="247">
        <v>0.9</v>
      </c>
      <c r="G37" s="247">
        <v>0.8</v>
      </c>
      <c r="H37" s="247">
        <v>0.9</v>
      </c>
      <c r="I37" s="247">
        <v>1</v>
      </c>
      <c r="J37" s="247">
        <v>0.7</v>
      </c>
      <c r="K37" s="247">
        <v>0.7</v>
      </c>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c r="BR37" s="247"/>
      <c r="BS37" s="247"/>
      <c r="BT37" s="247"/>
      <c r="BU37" s="247"/>
      <c r="BV37" s="247"/>
      <c r="BW37" s="247"/>
      <c r="BX37" s="247"/>
      <c r="BY37" s="247"/>
      <c r="BZ37" s="247"/>
      <c r="CA37" s="247"/>
      <c r="CB37" s="247"/>
      <c r="CC37" s="247"/>
      <c r="CD37" s="247"/>
      <c r="CE37" s="247"/>
      <c r="CF37" s="247"/>
      <c r="CG37" s="247"/>
      <c r="CH37" s="247"/>
      <c r="CI37" s="247"/>
      <c r="CJ37" s="247"/>
      <c r="CK37" s="247"/>
      <c r="CL37" s="247"/>
      <c r="CM37" s="247"/>
      <c r="CN37" s="247"/>
      <c r="CO37" s="247"/>
      <c r="CP37" s="247"/>
      <c r="CQ37" s="247"/>
      <c r="CR37" s="247"/>
      <c r="CS37" s="247"/>
      <c r="CT37" s="247"/>
      <c r="CU37" s="247"/>
      <c r="CV37" s="247"/>
      <c r="CW37" s="247"/>
      <c r="CX37" s="247"/>
      <c r="CY37" s="248"/>
    </row>
    <row r="38" spans="1:103" s="1" customFormat="1" ht="39" customHeight="1" x14ac:dyDescent="0.25">
      <c r="A38" s="2683"/>
      <c r="B38" s="2673"/>
      <c r="C38" s="150" t="s">
        <v>226</v>
      </c>
      <c r="D38" s="2671" t="s">
        <v>236</v>
      </c>
      <c r="E38" s="246">
        <v>1</v>
      </c>
      <c r="F38" s="247">
        <v>0.9</v>
      </c>
      <c r="G38" s="247">
        <v>0.9</v>
      </c>
      <c r="H38" s="247">
        <v>0.8</v>
      </c>
      <c r="I38" s="247">
        <v>1</v>
      </c>
      <c r="J38" s="247">
        <v>1</v>
      </c>
      <c r="K38" s="247">
        <v>1</v>
      </c>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247"/>
      <c r="CB38" s="247"/>
      <c r="CC38" s="247"/>
      <c r="CD38" s="247"/>
      <c r="CE38" s="247"/>
      <c r="CF38" s="247"/>
      <c r="CG38" s="247"/>
      <c r="CH38" s="247"/>
      <c r="CI38" s="247"/>
      <c r="CJ38" s="247"/>
      <c r="CK38" s="247"/>
      <c r="CL38" s="247"/>
      <c r="CM38" s="247"/>
      <c r="CN38" s="247"/>
      <c r="CO38" s="247"/>
      <c r="CP38" s="247"/>
      <c r="CQ38" s="247"/>
      <c r="CR38" s="247"/>
      <c r="CS38" s="247"/>
      <c r="CT38" s="247"/>
      <c r="CU38" s="247"/>
      <c r="CV38" s="247"/>
      <c r="CW38" s="247"/>
      <c r="CX38" s="247"/>
      <c r="CY38" s="248"/>
    </row>
    <row r="39" spans="1:103" s="1" customFormat="1" ht="33.75" customHeight="1" x14ac:dyDescent="0.25">
      <c r="A39" s="2683"/>
      <c r="B39" s="2673"/>
      <c r="C39" s="150" t="s">
        <v>194</v>
      </c>
      <c r="D39" s="2672"/>
      <c r="E39" s="246">
        <v>0.8</v>
      </c>
      <c r="F39" s="247">
        <v>0.9</v>
      </c>
      <c r="G39" s="247">
        <v>0.7</v>
      </c>
      <c r="H39" s="247">
        <v>0.8</v>
      </c>
      <c r="I39" s="247">
        <v>1</v>
      </c>
      <c r="J39" s="247">
        <v>1</v>
      </c>
      <c r="K39" s="247">
        <v>1</v>
      </c>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c r="BV39" s="247"/>
      <c r="BW39" s="247"/>
      <c r="BX39" s="247"/>
      <c r="BY39" s="247"/>
      <c r="BZ39" s="247"/>
      <c r="CA39" s="247"/>
      <c r="CB39" s="247"/>
      <c r="CC39" s="247"/>
      <c r="CD39" s="247"/>
      <c r="CE39" s="247"/>
      <c r="CF39" s="247"/>
      <c r="CG39" s="247"/>
      <c r="CH39" s="247"/>
      <c r="CI39" s="247"/>
      <c r="CJ39" s="247"/>
      <c r="CK39" s="247"/>
      <c r="CL39" s="247"/>
      <c r="CM39" s="247"/>
      <c r="CN39" s="247"/>
      <c r="CO39" s="247"/>
      <c r="CP39" s="247"/>
      <c r="CQ39" s="247"/>
      <c r="CR39" s="247"/>
      <c r="CS39" s="247"/>
      <c r="CT39" s="247"/>
      <c r="CU39" s="247"/>
      <c r="CV39" s="247"/>
      <c r="CW39" s="247"/>
      <c r="CX39" s="247"/>
      <c r="CY39" s="248"/>
    </row>
    <row r="40" spans="1:103" s="1" customFormat="1" ht="23.25" customHeight="1" x14ac:dyDescent="0.25">
      <c r="A40" s="2683"/>
      <c r="B40" s="2673"/>
      <c r="C40" s="150" t="s">
        <v>226</v>
      </c>
      <c r="D40" s="2671" t="s">
        <v>237</v>
      </c>
      <c r="E40" s="246"/>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7"/>
      <c r="CA40" s="247"/>
      <c r="CB40" s="247"/>
      <c r="CC40" s="247"/>
      <c r="CD40" s="247"/>
      <c r="CE40" s="247"/>
      <c r="CF40" s="247"/>
      <c r="CG40" s="247"/>
      <c r="CH40" s="247"/>
      <c r="CI40" s="247"/>
      <c r="CJ40" s="247"/>
      <c r="CK40" s="247"/>
      <c r="CL40" s="247"/>
      <c r="CM40" s="247"/>
      <c r="CN40" s="247"/>
      <c r="CO40" s="247"/>
      <c r="CP40" s="247"/>
      <c r="CQ40" s="247"/>
      <c r="CR40" s="247"/>
      <c r="CS40" s="247"/>
      <c r="CT40" s="247"/>
      <c r="CU40" s="247"/>
      <c r="CV40" s="247"/>
      <c r="CW40" s="247"/>
      <c r="CX40" s="247"/>
      <c r="CY40" s="248"/>
    </row>
    <row r="41" spans="1:103" s="1" customFormat="1" ht="24.75" customHeight="1" x14ac:dyDescent="0.25">
      <c r="A41" s="2683"/>
      <c r="B41" s="2673"/>
      <c r="C41" s="150" t="s">
        <v>194</v>
      </c>
      <c r="D41" s="2672"/>
      <c r="E41" s="246">
        <v>1</v>
      </c>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8"/>
    </row>
    <row r="42" spans="1:103" s="1" customFormat="1" ht="39" customHeight="1" x14ac:dyDescent="0.25">
      <c r="A42" s="2683"/>
      <c r="B42" s="2673"/>
      <c r="C42" s="150" t="s">
        <v>186</v>
      </c>
      <c r="D42" s="151" t="s">
        <v>238</v>
      </c>
      <c r="E42" s="246">
        <v>1</v>
      </c>
      <c r="F42" s="247">
        <v>0.9</v>
      </c>
      <c r="G42" s="247">
        <v>0.8</v>
      </c>
      <c r="H42" s="247">
        <v>0.8</v>
      </c>
      <c r="I42" s="247">
        <v>1</v>
      </c>
      <c r="J42" s="247">
        <v>1</v>
      </c>
      <c r="K42" s="247">
        <v>1</v>
      </c>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47"/>
      <c r="CN42" s="247"/>
      <c r="CO42" s="247"/>
      <c r="CP42" s="247"/>
      <c r="CQ42" s="247"/>
      <c r="CR42" s="247"/>
      <c r="CS42" s="247"/>
      <c r="CT42" s="247"/>
      <c r="CU42" s="247"/>
      <c r="CV42" s="247"/>
      <c r="CW42" s="247"/>
      <c r="CX42" s="247"/>
      <c r="CY42" s="248"/>
    </row>
    <row r="43" spans="1:103" s="1" customFormat="1" ht="32.25" customHeight="1" x14ac:dyDescent="0.25">
      <c r="A43" s="2683"/>
      <c r="B43" s="2673"/>
      <c r="C43" s="150" t="s">
        <v>226</v>
      </c>
      <c r="D43" s="2671" t="s">
        <v>239</v>
      </c>
      <c r="E43" s="246">
        <v>1</v>
      </c>
      <c r="F43" s="247">
        <v>0.9</v>
      </c>
      <c r="G43" s="247">
        <v>0.8</v>
      </c>
      <c r="H43" s="247">
        <v>0.8</v>
      </c>
      <c r="I43" s="247">
        <v>1</v>
      </c>
      <c r="J43" s="247">
        <v>1</v>
      </c>
      <c r="K43" s="247">
        <v>1</v>
      </c>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8"/>
    </row>
    <row r="44" spans="1:103" s="1" customFormat="1" ht="30" customHeight="1" x14ac:dyDescent="0.25">
      <c r="A44" s="2683"/>
      <c r="B44" s="2673"/>
      <c r="C44" s="150" t="s">
        <v>192</v>
      </c>
      <c r="D44" s="2672"/>
      <c r="E44" s="246">
        <v>1</v>
      </c>
      <c r="F44" s="247">
        <v>0.85</v>
      </c>
      <c r="G44" s="247">
        <v>1</v>
      </c>
      <c r="H44" s="247"/>
      <c r="I44" s="247">
        <v>1</v>
      </c>
      <c r="J44" s="247">
        <v>1</v>
      </c>
      <c r="K44" s="247">
        <v>1</v>
      </c>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c r="CF44" s="247"/>
      <c r="CG44" s="247"/>
      <c r="CH44" s="247"/>
      <c r="CI44" s="247"/>
      <c r="CJ44" s="247"/>
      <c r="CK44" s="247"/>
      <c r="CL44" s="247"/>
      <c r="CM44" s="247"/>
      <c r="CN44" s="247"/>
      <c r="CO44" s="247"/>
      <c r="CP44" s="247"/>
      <c r="CQ44" s="247"/>
      <c r="CR44" s="247"/>
      <c r="CS44" s="247"/>
      <c r="CT44" s="247"/>
      <c r="CU44" s="247"/>
      <c r="CV44" s="247"/>
      <c r="CW44" s="247"/>
      <c r="CX44" s="247"/>
      <c r="CY44" s="248"/>
    </row>
    <row r="45" spans="1:103" s="1" customFormat="1" ht="32.25" customHeight="1" x14ac:dyDescent="0.25">
      <c r="A45" s="2683"/>
      <c r="B45" s="2673" t="s">
        <v>240</v>
      </c>
      <c r="C45" s="150" t="s">
        <v>226</v>
      </c>
      <c r="D45" s="2671" t="s">
        <v>241</v>
      </c>
      <c r="E45" s="246">
        <v>1</v>
      </c>
      <c r="F45" s="247">
        <v>0.9</v>
      </c>
      <c r="G45" s="247">
        <v>0.85</v>
      </c>
      <c r="H45" s="247">
        <v>0.5</v>
      </c>
      <c r="I45" s="247">
        <v>1</v>
      </c>
      <c r="J45" s="247">
        <v>1</v>
      </c>
      <c r="K45" s="247">
        <v>1</v>
      </c>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7"/>
      <c r="CF45" s="247"/>
      <c r="CG45" s="247"/>
      <c r="CH45" s="247"/>
      <c r="CI45" s="247"/>
      <c r="CJ45" s="247"/>
      <c r="CK45" s="247"/>
      <c r="CL45" s="247"/>
      <c r="CM45" s="247"/>
      <c r="CN45" s="247"/>
      <c r="CO45" s="247"/>
      <c r="CP45" s="247"/>
      <c r="CQ45" s="247"/>
      <c r="CR45" s="247"/>
      <c r="CS45" s="247"/>
      <c r="CT45" s="247"/>
      <c r="CU45" s="247"/>
      <c r="CV45" s="247"/>
      <c r="CW45" s="247"/>
      <c r="CX45" s="247"/>
      <c r="CY45" s="248"/>
    </row>
    <row r="46" spans="1:103" s="1" customFormat="1" ht="27.75" customHeight="1" x14ac:dyDescent="0.25">
      <c r="A46" s="2683"/>
      <c r="B46" s="2673"/>
      <c r="C46" s="150" t="s">
        <v>194</v>
      </c>
      <c r="D46" s="2672"/>
      <c r="E46" s="246"/>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c r="CO46" s="247"/>
      <c r="CP46" s="247"/>
      <c r="CQ46" s="247"/>
      <c r="CR46" s="247"/>
      <c r="CS46" s="247"/>
      <c r="CT46" s="247"/>
      <c r="CU46" s="247"/>
      <c r="CV46" s="247"/>
      <c r="CW46" s="247"/>
      <c r="CX46" s="247"/>
      <c r="CY46" s="248"/>
    </row>
    <row r="47" spans="1:103" s="1" customFormat="1" ht="51" x14ac:dyDescent="0.25">
      <c r="A47" s="2683"/>
      <c r="B47" s="2673"/>
      <c r="C47" s="150" t="s">
        <v>192</v>
      </c>
      <c r="D47" s="151" t="s">
        <v>242</v>
      </c>
      <c r="E47" s="246"/>
      <c r="F47" s="247"/>
      <c r="G47" s="247">
        <v>0.9</v>
      </c>
      <c r="H47" s="247">
        <v>0.7</v>
      </c>
      <c r="I47" s="247">
        <v>1</v>
      </c>
      <c r="J47" s="247">
        <v>0.7</v>
      </c>
      <c r="K47" s="247">
        <v>0.7</v>
      </c>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c r="CL47" s="247"/>
      <c r="CM47" s="247"/>
      <c r="CN47" s="247"/>
      <c r="CO47" s="247"/>
      <c r="CP47" s="247"/>
      <c r="CQ47" s="247"/>
      <c r="CR47" s="247"/>
      <c r="CS47" s="247"/>
      <c r="CT47" s="247"/>
      <c r="CU47" s="247"/>
      <c r="CV47" s="247"/>
      <c r="CW47" s="247"/>
      <c r="CX47" s="247"/>
      <c r="CY47" s="248"/>
    </row>
    <row r="48" spans="1:103" s="1" customFormat="1" ht="63.75" x14ac:dyDescent="0.25">
      <c r="A48" s="2683"/>
      <c r="B48" s="2673"/>
      <c r="C48" s="150" t="s">
        <v>192</v>
      </c>
      <c r="D48" s="151" t="s">
        <v>243</v>
      </c>
      <c r="E48" s="246"/>
      <c r="F48" s="247"/>
      <c r="G48" s="247">
        <v>0.8</v>
      </c>
      <c r="H48" s="247"/>
      <c r="I48" s="247">
        <v>1</v>
      </c>
      <c r="J48" s="247">
        <v>1</v>
      </c>
      <c r="K48" s="247">
        <v>1</v>
      </c>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c r="CO48" s="247"/>
      <c r="CP48" s="247"/>
      <c r="CQ48" s="247"/>
      <c r="CR48" s="247"/>
      <c r="CS48" s="247"/>
      <c r="CT48" s="247"/>
      <c r="CU48" s="247"/>
      <c r="CV48" s="247"/>
      <c r="CW48" s="247"/>
      <c r="CX48" s="247"/>
      <c r="CY48" s="248"/>
    </row>
    <row r="49" spans="1:103" s="1" customFormat="1" ht="51" x14ac:dyDescent="0.25">
      <c r="A49" s="2683"/>
      <c r="B49" s="1059" t="s">
        <v>244</v>
      </c>
      <c r="C49" s="150" t="s">
        <v>226</v>
      </c>
      <c r="D49" s="1060" t="s">
        <v>245</v>
      </c>
      <c r="E49" s="246"/>
      <c r="F49" s="247"/>
      <c r="G49" s="247">
        <v>0.9</v>
      </c>
      <c r="H49" s="247"/>
      <c r="I49" s="247">
        <v>1</v>
      </c>
      <c r="J49" s="247">
        <v>1</v>
      </c>
      <c r="K49" s="247">
        <v>1</v>
      </c>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c r="CO49" s="247"/>
      <c r="CP49" s="247"/>
      <c r="CQ49" s="247"/>
      <c r="CR49" s="247"/>
      <c r="CS49" s="247"/>
      <c r="CT49" s="247"/>
      <c r="CU49" s="247"/>
      <c r="CV49" s="247"/>
      <c r="CW49" s="247"/>
      <c r="CX49" s="247"/>
      <c r="CY49" s="248"/>
    </row>
    <row r="50" spans="1:103" s="1" customFormat="1" ht="45.75" customHeight="1" x14ac:dyDescent="0.25">
      <c r="A50" s="2683"/>
      <c r="B50" s="2673" t="s">
        <v>246</v>
      </c>
      <c r="C50" s="150" t="s">
        <v>192</v>
      </c>
      <c r="D50" s="151" t="s">
        <v>247</v>
      </c>
      <c r="E50" s="246"/>
      <c r="F50" s="247">
        <v>1</v>
      </c>
      <c r="G50" s="247">
        <v>1</v>
      </c>
      <c r="H50" s="247">
        <v>1</v>
      </c>
      <c r="I50" s="247">
        <v>1</v>
      </c>
      <c r="J50" s="247">
        <v>1</v>
      </c>
      <c r="K50" s="247">
        <v>1</v>
      </c>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c r="CO50" s="247"/>
      <c r="CP50" s="247"/>
      <c r="CQ50" s="247"/>
      <c r="CR50" s="247"/>
      <c r="CS50" s="247"/>
      <c r="CT50" s="247"/>
      <c r="CU50" s="247"/>
      <c r="CV50" s="247"/>
      <c r="CW50" s="247"/>
      <c r="CX50" s="247"/>
      <c r="CY50" s="248"/>
    </row>
    <row r="51" spans="1:103" s="1" customFormat="1" ht="38.25" customHeight="1" x14ac:dyDescent="0.25">
      <c r="A51" s="2683"/>
      <c r="B51" s="2673"/>
      <c r="C51" s="150" t="s">
        <v>186</v>
      </c>
      <c r="D51" s="151" t="s">
        <v>248</v>
      </c>
      <c r="E51" s="246"/>
      <c r="F51" s="247">
        <v>1</v>
      </c>
      <c r="G51" s="247">
        <v>1</v>
      </c>
      <c r="H51" s="247">
        <v>1</v>
      </c>
      <c r="I51" s="247">
        <v>0.95</v>
      </c>
      <c r="J51" s="247">
        <v>0.95</v>
      </c>
      <c r="K51" s="247">
        <v>0.95</v>
      </c>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c r="CL51" s="247"/>
      <c r="CM51" s="247"/>
      <c r="CN51" s="247"/>
      <c r="CO51" s="247"/>
      <c r="CP51" s="247"/>
      <c r="CQ51" s="247"/>
      <c r="CR51" s="247"/>
      <c r="CS51" s="247"/>
      <c r="CT51" s="247"/>
      <c r="CU51" s="247"/>
      <c r="CV51" s="247"/>
      <c r="CW51" s="247"/>
      <c r="CX51" s="247"/>
      <c r="CY51" s="248"/>
    </row>
    <row r="52" spans="1:103" s="1" customFormat="1" ht="51" customHeight="1" x14ac:dyDescent="0.25">
      <c r="A52" s="2683"/>
      <c r="B52" s="2673"/>
      <c r="C52" s="150" t="s">
        <v>186</v>
      </c>
      <c r="D52" s="151" t="s">
        <v>249</v>
      </c>
      <c r="E52" s="246"/>
      <c r="F52" s="247">
        <v>1</v>
      </c>
      <c r="G52" s="247">
        <v>1</v>
      </c>
      <c r="H52" s="247">
        <v>1</v>
      </c>
      <c r="I52" s="247">
        <v>0.9</v>
      </c>
      <c r="J52" s="247">
        <v>0.9</v>
      </c>
      <c r="K52" s="247">
        <v>0.9</v>
      </c>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c r="CL52" s="247"/>
      <c r="CM52" s="247"/>
      <c r="CN52" s="247"/>
      <c r="CO52" s="247"/>
      <c r="CP52" s="247"/>
      <c r="CQ52" s="247"/>
      <c r="CR52" s="247"/>
      <c r="CS52" s="247"/>
      <c r="CT52" s="247"/>
      <c r="CU52" s="247"/>
      <c r="CV52" s="247"/>
      <c r="CW52" s="247"/>
      <c r="CX52" s="247"/>
      <c r="CY52" s="248"/>
    </row>
    <row r="53" spans="1:103" s="1" customFormat="1" ht="63.75" customHeight="1" x14ac:dyDescent="0.25">
      <c r="A53" s="2683"/>
      <c r="B53" s="1061" t="s">
        <v>250</v>
      </c>
      <c r="C53" s="150" t="s">
        <v>194</v>
      </c>
      <c r="D53" s="152" t="s">
        <v>251</v>
      </c>
      <c r="E53" s="246"/>
      <c r="F53" s="247">
        <v>0.84</v>
      </c>
      <c r="G53" s="247">
        <v>1</v>
      </c>
      <c r="H53" s="247">
        <v>1</v>
      </c>
      <c r="I53" s="247">
        <v>0.9</v>
      </c>
      <c r="J53" s="247">
        <v>0.9</v>
      </c>
      <c r="K53" s="247">
        <v>0.9</v>
      </c>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c r="CL53" s="247"/>
      <c r="CM53" s="247"/>
      <c r="CN53" s="247"/>
      <c r="CO53" s="247"/>
      <c r="CP53" s="247"/>
      <c r="CQ53" s="247"/>
      <c r="CR53" s="247"/>
      <c r="CS53" s="247"/>
      <c r="CT53" s="247"/>
      <c r="CU53" s="247"/>
      <c r="CV53" s="247"/>
      <c r="CW53" s="247"/>
      <c r="CX53" s="247"/>
      <c r="CY53" s="248"/>
    </row>
    <row r="54" spans="1:103" s="1" customFormat="1" ht="117" customHeight="1" x14ac:dyDescent="0.25">
      <c r="A54" s="2648" t="s">
        <v>252</v>
      </c>
      <c r="B54" s="985" t="s">
        <v>253</v>
      </c>
      <c r="C54" s="153" t="s">
        <v>194</v>
      </c>
      <c r="D54" s="154" t="s">
        <v>254</v>
      </c>
      <c r="E54" s="155">
        <v>1</v>
      </c>
      <c r="F54" s="156"/>
      <c r="G54" s="156"/>
      <c r="H54" s="156">
        <v>1</v>
      </c>
      <c r="I54" s="156"/>
      <c r="J54" s="156"/>
      <c r="K54" s="156">
        <v>0.9</v>
      </c>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56"/>
      <c r="CA54" s="156"/>
      <c r="CB54" s="156"/>
      <c r="CC54" s="156"/>
      <c r="CD54" s="156"/>
      <c r="CE54" s="156"/>
      <c r="CF54" s="156"/>
      <c r="CG54" s="156"/>
      <c r="CH54" s="156"/>
      <c r="CI54" s="156"/>
      <c r="CJ54" s="156"/>
      <c r="CK54" s="156"/>
      <c r="CL54" s="156"/>
      <c r="CM54" s="156"/>
      <c r="CN54" s="156"/>
      <c r="CO54" s="156"/>
      <c r="CP54" s="156"/>
      <c r="CQ54" s="156"/>
      <c r="CR54" s="156"/>
      <c r="CS54" s="156"/>
      <c r="CT54" s="156"/>
      <c r="CU54" s="156"/>
      <c r="CV54" s="156"/>
      <c r="CW54" s="156"/>
      <c r="CX54" s="156"/>
      <c r="CY54" s="157"/>
    </row>
    <row r="55" spans="1:103" s="1" customFormat="1" ht="93.75" customHeight="1" x14ac:dyDescent="0.25">
      <c r="A55" s="2648"/>
      <c r="B55" s="2649" t="s">
        <v>255</v>
      </c>
      <c r="C55" s="153" t="s">
        <v>192</v>
      </c>
      <c r="D55" s="154" t="s">
        <v>256</v>
      </c>
      <c r="E55" s="155">
        <v>1</v>
      </c>
      <c r="F55" s="156"/>
      <c r="G55" s="156"/>
      <c r="H55" s="156">
        <v>1</v>
      </c>
      <c r="I55" s="156"/>
      <c r="J55" s="156"/>
      <c r="K55" s="156">
        <v>0.9</v>
      </c>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6"/>
      <c r="BU55" s="156"/>
      <c r="BV55" s="156"/>
      <c r="BW55" s="156"/>
      <c r="BX55" s="156"/>
      <c r="BY55" s="156"/>
      <c r="BZ55" s="156"/>
      <c r="CA55" s="156"/>
      <c r="CB55" s="156"/>
      <c r="CC55" s="156"/>
      <c r="CD55" s="156"/>
      <c r="CE55" s="156"/>
      <c r="CF55" s="156"/>
      <c r="CG55" s="156"/>
      <c r="CH55" s="156"/>
      <c r="CI55" s="156"/>
      <c r="CJ55" s="156"/>
      <c r="CK55" s="156"/>
      <c r="CL55" s="156"/>
      <c r="CM55" s="156"/>
      <c r="CN55" s="156"/>
      <c r="CO55" s="156"/>
      <c r="CP55" s="156"/>
      <c r="CQ55" s="156"/>
      <c r="CR55" s="156"/>
      <c r="CS55" s="156"/>
      <c r="CT55" s="156"/>
      <c r="CU55" s="156"/>
      <c r="CV55" s="156"/>
      <c r="CW55" s="156"/>
      <c r="CX55" s="156"/>
      <c r="CY55" s="157"/>
    </row>
    <row r="56" spans="1:103" s="1" customFormat="1" ht="51" customHeight="1" x14ac:dyDescent="0.25">
      <c r="A56" s="2648"/>
      <c r="B56" s="2649"/>
      <c r="C56" s="153" t="s">
        <v>192</v>
      </c>
      <c r="D56" s="154" t="s">
        <v>257</v>
      </c>
      <c r="E56" s="155">
        <v>1</v>
      </c>
      <c r="F56" s="156"/>
      <c r="G56" s="156"/>
      <c r="H56" s="156">
        <v>1</v>
      </c>
      <c r="I56" s="156"/>
      <c r="J56" s="156"/>
      <c r="K56" s="156">
        <v>0.9</v>
      </c>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156"/>
      <c r="BX56" s="156"/>
      <c r="BY56" s="156"/>
      <c r="BZ56" s="156"/>
      <c r="CA56" s="156"/>
      <c r="CB56" s="156"/>
      <c r="CC56" s="156"/>
      <c r="CD56" s="156"/>
      <c r="CE56" s="156"/>
      <c r="CF56" s="156"/>
      <c r="CG56" s="156"/>
      <c r="CH56" s="156"/>
      <c r="CI56" s="156"/>
      <c r="CJ56" s="156"/>
      <c r="CK56" s="156"/>
      <c r="CL56" s="156"/>
      <c r="CM56" s="156"/>
      <c r="CN56" s="156"/>
      <c r="CO56" s="156"/>
      <c r="CP56" s="156"/>
      <c r="CQ56" s="156"/>
      <c r="CR56" s="156"/>
      <c r="CS56" s="156"/>
      <c r="CT56" s="156"/>
      <c r="CU56" s="156"/>
      <c r="CV56" s="156"/>
      <c r="CW56" s="156"/>
      <c r="CX56" s="156"/>
      <c r="CY56" s="157"/>
    </row>
    <row r="57" spans="1:103" s="1" customFormat="1" ht="71.25" customHeight="1" x14ac:dyDescent="0.25">
      <c r="A57" s="2648"/>
      <c r="B57" s="2649"/>
      <c r="C57" s="153" t="s">
        <v>194</v>
      </c>
      <c r="D57" s="154" t="s">
        <v>258</v>
      </c>
      <c r="E57" s="155">
        <v>1</v>
      </c>
      <c r="F57" s="156"/>
      <c r="G57" s="156"/>
      <c r="H57" s="156">
        <v>1</v>
      </c>
      <c r="I57" s="156"/>
      <c r="J57" s="156"/>
      <c r="K57" s="156">
        <v>0.9</v>
      </c>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6"/>
      <c r="BR57" s="156"/>
      <c r="BS57" s="156"/>
      <c r="BT57" s="156"/>
      <c r="BU57" s="156"/>
      <c r="BV57" s="156"/>
      <c r="BW57" s="156"/>
      <c r="BX57" s="156"/>
      <c r="BY57" s="156"/>
      <c r="BZ57" s="156"/>
      <c r="CA57" s="156"/>
      <c r="CB57" s="156"/>
      <c r="CC57" s="156"/>
      <c r="CD57" s="156"/>
      <c r="CE57" s="156"/>
      <c r="CF57" s="156"/>
      <c r="CG57" s="156"/>
      <c r="CH57" s="156"/>
      <c r="CI57" s="156"/>
      <c r="CJ57" s="156"/>
      <c r="CK57" s="156"/>
      <c r="CL57" s="156"/>
      <c r="CM57" s="156"/>
      <c r="CN57" s="156"/>
      <c r="CO57" s="156"/>
      <c r="CP57" s="156"/>
      <c r="CQ57" s="156"/>
      <c r="CR57" s="156"/>
      <c r="CS57" s="156"/>
      <c r="CT57" s="156"/>
      <c r="CU57" s="156"/>
      <c r="CV57" s="156"/>
      <c r="CW57" s="156"/>
      <c r="CX57" s="156"/>
      <c r="CY57" s="157"/>
    </row>
    <row r="58" spans="1:103" s="1" customFormat="1" ht="38.25" x14ac:dyDescent="0.25">
      <c r="A58" s="2648"/>
      <c r="B58" s="2649"/>
      <c r="C58" s="153" t="s">
        <v>194</v>
      </c>
      <c r="D58" s="154" t="s">
        <v>259</v>
      </c>
      <c r="E58" s="155">
        <v>1</v>
      </c>
      <c r="F58" s="156"/>
      <c r="G58" s="156"/>
      <c r="H58" s="156">
        <v>1</v>
      </c>
      <c r="I58" s="156"/>
      <c r="J58" s="156"/>
      <c r="K58" s="156">
        <v>0.9</v>
      </c>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6"/>
      <c r="BZ58" s="156"/>
      <c r="CA58" s="156"/>
      <c r="CB58" s="156"/>
      <c r="CC58" s="156"/>
      <c r="CD58" s="156"/>
      <c r="CE58" s="156"/>
      <c r="CF58" s="156"/>
      <c r="CG58" s="156"/>
      <c r="CH58" s="156"/>
      <c r="CI58" s="156"/>
      <c r="CJ58" s="156"/>
      <c r="CK58" s="156"/>
      <c r="CL58" s="156"/>
      <c r="CM58" s="156"/>
      <c r="CN58" s="156"/>
      <c r="CO58" s="156"/>
      <c r="CP58" s="156"/>
      <c r="CQ58" s="156"/>
      <c r="CR58" s="156"/>
      <c r="CS58" s="156"/>
      <c r="CT58" s="156"/>
      <c r="CU58" s="156"/>
      <c r="CV58" s="156"/>
      <c r="CW58" s="156"/>
      <c r="CX58" s="156"/>
      <c r="CY58" s="157"/>
    </row>
    <row r="59" spans="1:103" s="1" customFormat="1" ht="42" customHeight="1" x14ac:dyDescent="0.25">
      <c r="A59" s="2648"/>
      <c r="B59" s="2649"/>
      <c r="C59" s="153" t="s">
        <v>194</v>
      </c>
      <c r="D59" s="154" t="s">
        <v>260</v>
      </c>
      <c r="E59" s="155">
        <v>1</v>
      </c>
      <c r="F59" s="156"/>
      <c r="G59" s="156"/>
      <c r="H59" s="156">
        <v>1</v>
      </c>
      <c r="I59" s="156"/>
      <c r="J59" s="156"/>
      <c r="K59" s="156">
        <v>0.9</v>
      </c>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c r="CF59" s="156"/>
      <c r="CG59" s="156"/>
      <c r="CH59" s="156"/>
      <c r="CI59" s="156"/>
      <c r="CJ59" s="156"/>
      <c r="CK59" s="156"/>
      <c r="CL59" s="156"/>
      <c r="CM59" s="156"/>
      <c r="CN59" s="156"/>
      <c r="CO59" s="156"/>
      <c r="CP59" s="156"/>
      <c r="CQ59" s="156"/>
      <c r="CR59" s="156"/>
      <c r="CS59" s="156"/>
      <c r="CT59" s="156"/>
      <c r="CU59" s="156"/>
      <c r="CV59" s="156"/>
      <c r="CW59" s="156"/>
      <c r="CX59" s="156"/>
      <c r="CY59" s="157"/>
    </row>
    <row r="60" spans="1:103" s="1" customFormat="1" ht="73.5" customHeight="1" x14ac:dyDescent="0.25">
      <c r="A60" s="2648"/>
      <c r="B60" s="158" t="s">
        <v>261</v>
      </c>
      <c r="C60" s="153" t="s">
        <v>192</v>
      </c>
      <c r="D60" s="154" t="s">
        <v>262</v>
      </c>
      <c r="E60" s="155">
        <v>1</v>
      </c>
      <c r="F60" s="156"/>
      <c r="G60" s="156"/>
      <c r="H60" s="156"/>
      <c r="I60" s="156"/>
      <c r="J60" s="156"/>
      <c r="K60" s="156">
        <v>0.9</v>
      </c>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156"/>
      <c r="BX60" s="156"/>
      <c r="BY60" s="156"/>
      <c r="BZ60" s="156"/>
      <c r="CA60" s="156"/>
      <c r="CB60" s="156"/>
      <c r="CC60" s="156"/>
      <c r="CD60" s="156"/>
      <c r="CE60" s="156"/>
      <c r="CF60" s="156"/>
      <c r="CG60" s="156"/>
      <c r="CH60" s="156"/>
      <c r="CI60" s="156"/>
      <c r="CJ60" s="156"/>
      <c r="CK60" s="156"/>
      <c r="CL60" s="156"/>
      <c r="CM60" s="156"/>
      <c r="CN60" s="156"/>
      <c r="CO60" s="156"/>
      <c r="CP60" s="156"/>
      <c r="CQ60" s="156"/>
      <c r="CR60" s="156"/>
      <c r="CS60" s="156"/>
      <c r="CT60" s="156"/>
      <c r="CU60" s="156"/>
      <c r="CV60" s="156"/>
      <c r="CW60" s="156"/>
      <c r="CX60" s="156"/>
      <c r="CY60" s="157"/>
    </row>
    <row r="61" spans="1:103" s="1" customFormat="1" ht="54.75" customHeight="1" x14ac:dyDescent="0.25">
      <c r="A61" s="2648"/>
      <c r="B61" s="158" t="s">
        <v>263</v>
      </c>
      <c r="C61" s="153" t="s">
        <v>194</v>
      </c>
      <c r="D61" s="154" t="s">
        <v>249</v>
      </c>
      <c r="E61" s="155"/>
      <c r="F61" s="156"/>
      <c r="G61" s="156"/>
      <c r="H61" s="156"/>
      <c r="I61" s="156"/>
      <c r="J61" s="156"/>
      <c r="K61" s="156">
        <v>0.9</v>
      </c>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c r="BW61" s="156"/>
      <c r="BX61" s="156"/>
      <c r="BY61" s="156"/>
      <c r="BZ61" s="156"/>
      <c r="CA61" s="156"/>
      <c r="CB61" s="156"/>
      <c r="CC61" s="156"/>
      <c r="CD61" s="156"/>
      <c r="CE61" s="156"/>
      <c r="CF61" s="156"/>
      <c r="CG61" s="156"/>
      <c r="CH61" s="156"/>
      <c r="CI61" s="156"/>
      <c r="CJ61" s="156"/>
      <c r="CK61" s="156"/>
      <c r="CL61" s="156"/>
      <c r="CM61" s="156"/>
      <c r="CN61" s="156"/>
      <c r="CO61" s="156"/>
      <c r="CP61" s="156"/>
      <c r="CQ61" s="156"/>
      <c r="CR61" s="156"/>
      <c r="CS61" s="156"/>
      <c r="CT61" s="156"/>
      <c r="CU61" s="156"/>
      <c r="CV61" s="156"/>
      <c r="CW61" s="156"/>
      <c r="CX61" s="156"/>
      <c r="CY61" s="157"/>
    </row>
    <row r="62" spans="1:103" s="1" customFormat="1" ht="56.25" customHeight="1" x14ac:dyDescent="0.25">
      <c r="A62" s="2648"/>
      <c r="B62" s="2649" t="s">
        <v>264</v>
      </c>
      <c r="C62" s="153" t="s">
        <v>194</v>
      </c>
      <c r="D62" s="154" t="s">
        <v>265</v>
      </c>
      <c r="E62" s="155">
        <v>1</v>
      </c>
      <c r="F62" s="156"/>
      <c r="G62" s="156"/>
      <c r="H62" s="156">
        <v>1</v>
      </c>
      <c r="I62" s="156"/>
      <c r="J62" s="156"/>
      <c r="K62" s="156">
        <v>0.9</v>
      </c>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156"/>
      <c r="BJ62" s="156"/>
      <c r="BK62" s="156"/>
      <c r="BL62" s="156"/>
      <c r="BM62" s="156"/>
      <c r="BN62" s="156"/>
      <c r="BO62" s="156"/>
      <c r="BP62" s="156"/>
      <c r="BQ62" s="156"/>
      <c r="BR62" s="156"/>
      <c r="BS62" s="156"/>
      <c r="BT62" s="156"/>
      <c r="BU62" s="156"/>
      <c r="BV62" s="156"/>
      <c r="BW62" s="156"/>
      <c r="BX62" s="156"/>
      <c r="BY62" s="156"/>
      <c r="BZ62" s="156"/>
      <c r="CA62" s="156"/>
      <c r="CB62" s="156"/>
      <c r="CC62" s="156"/>
      <c r="CD62" s="156"/>
      <c r="CE62" s="156"/>
      <c r="CF62" s="156"/>
      <c r="CG62" s="156"/>
      <c r="CH62" s="156"/>
      <c r="CI62" s="156"/>
      <c r="CJ62" s="156"/>
      <c r="CK62" s="156"/>
      <c r="CL62" s="156"/>
      <c r="CM62" s="156"/>
      <c r="CN62" s="156"/>
      <c r="CO62" s="156"/>
      <c r="CP62" s="156"/>
      <c r="CQ62" s="156"/>
      <c r="CR62" s="156"/>
      <c r="CS62" s="156"/>
      <c r="CT62" s="156"/>
      <c r="CU62" s="156"/>
      <c r="CV62" s="156"/>
      <c r="CW62" s="156"/>
      <c r="CX62" s="156"/>
      <c r="CY62" s="157"/>
    </row>
    <row r="63" spans="1:103" s="1" customFormat="1" ht="58.5" customHeight="1" x14ac:dyDescent="0.25">
      <c r="A63" s="2648"/>
      <c r="B63" s="2649"/>
      <c r="C63" s="153" t="s">
        <v>194</v>
      </c>
      <c r="D63" s="154" t="s">
        <v>266</v>
      </c>
      <c r="E63" s="155">
        <v>1</v>
      </c>
      <c r="F63" s="156"/>
      <c r="G63" s="156"/>
      <c r="H63" s="156">
        <v>1</v>
      </c>
      <c r="I63" s="156"/>
      <c r="J63" s="156"/>
      <c r="K63" s="156">
        <v>0.9</v>
      </c>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156"/>
      <c r="BW63" s="156"/>
      <c r="BX63" s="156"/>
      <c r="BY63" s="156"/>
      <c r="BZ63" s="156"/>
      <c r="CA63" s="156"/>
      <c r="CB63" s="156"/>
      <c r="CC63" s="156"/>
      <c r="CD63" s="156"/>
      <c r="CE63" s="156"/>
      <c r="CF63" s="156"/>
      <c r="CG63" s="156"/>
      <c r="CH63" s="156"/>
      <c r="CI63" s="156"/>
      <c r="CJ63" s="156"/>
      <c r="CK63" s="156"/>
      <c r="CL63" s="156"/>
      <c r="CM63" s="156"/>
      <c r="CN63" s="156"/>
      <c r="CO63" s="156"/>
      <c r="CP63" s="156"/>
      <c r="CQ63" s="156"/>
      <c r="CR63" s="156"/>
      <c r="CS63" s="156"/>
      <c r="CT63" s="156"/>
      <c r="CU63" s="156"/>
      <c r="CV63" s="156"/>
      <c r="CW63" s="156"/>
      <c r="CX63" s="156"/>
      <c r="CY63" s="157"/>
    </row>
    <row r="64" spans="1:103" s="1" customFormat="1" ht="58.5" customHeight="1" x14ac:dyDescent="0.25">
      <c r="A64" s="2650" t="s">
        <v>267</v>
      </c>
      <c r="B64" s="2651" t="s">
        <v>268</v>
      </c>
      <c r="C64" s="195" t="s">
        <v>186</v>
      </c>
      <c r="D64" s="194"/>
      <c r="E64" s="160"/>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c r="CL64" s="161"/>
      <c r="CM64" s="161"/>
      <c r="CN64" s="161"/>
      <c r="CO64" s="161"/>
      <c r="CP64" s="161"/>
      <c r="CQ64" s="161"/>
      <c r="CR64" s="161"/>
      <c r="CS64" s="161"/>
      <c r="CT64" s="161"/>
      <c r="CU64" s="161"/>
      <c r="CV64" s="161"/>
      <c r="CW64" s="161"/>
      <c r="CX64" s="161"/>
      <c r="CY64" s="162"/>
    </row>
    <row r="65" spans="1:105" s="1" customFormat="1" ht="58.5" customHeight="1" x14ac:dyDescent="0.25">
      <c r="A65" s="2650"/>
      <c r="B65" s="2652"/>
      <c r="C65" s="195" t="s">
        <v>192</v>
      </c>
      <c r="D65" s="194"/>
      <c r="E65" s="160"/>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61"/>
      <c r="BV65" s="161"/>
      <c r="BW65" s="161"/>
      <c r="BX65" s="161"/>
      <c r="BY65" s="161"/>
      <c r="BZ65" s="161"/>
      <c r="CA65" s="161"/>
      <c r="CB65" s="161"/>
      <c r="CC65" s="161"/>
      <c r="CD65" s="161"/>
      <c r="CE65" s="161"/>
      <c r="CF65" s="161"/>
      <c r="CG65" s="161"/>
      <c r="CH65" s="161"/>
      <c r="CI65" s="161"/>
      <c r="CJ65" s="161"/>
      <c r="CK65" s="161"/>
      <c r="CL65" s="161"/>
      <c r="CM65" s="161"/>
      <c r="CN65" s="161"/>
      <c r="CO65" s="161"/>
      <c r="CP65" s="161"/>
      <c r="CQ65" s="161"/>
      <c r="CR65" s="161"/>
      <c r="CS65" s="161"/>
      <c r="CT65" s="161"/>
      <c r="CU65" s="161"/>
      <c r="CV65" s="161"/>
      <c r="CW65" s="161"/>
      <c r="CX65" s="161"/>
      <c r="CY65" s="162"/>
    </row>
    <row r="66" spans="1:105" s="1" customFormat="1" ht="58.5" customHeight="1" x14ac:dyDescent="0.25">
      <c r="A66" s="2650"/>
      <c r="B66" s="2652"/>
      <c r="C66" s="195" t="s">
        <v>194</v>
      </c>
      <c r="D66" s="194"/>
      <c r="E66" s="160"/>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1"/>
      <c r="CJ66" s="161"/>
      <c r="CK66" s="161"/>
      <c r="CL66" s="161"/>
      <c r="CM66" s="161"/>
      <c r="CN66" s="161"/>
      <c r="CO66" s="161"/>
      <c r="CP66" s="161"/>
      <c r="CQ66" s="161"/>
      <c r="CR66" s="161"/>
      <c r="CS66" s="161"/>
      <c r="CT66" s="161"/>
      <c r="CU66" s="161"/>
      <c r="CV66" s="161"/>
      <c r="CW66" s="161"/>
      <c r="CX66" s="161"/>
      <c r="CY66" s="162"/>
    </row>
    <row r="67" spans="1:105" s="1" customFormat="1" ht="56.25" customHeight="1" x14ac:dyDescent="0.25">
      <c r="A67" s="2650"/>
      <c r="B67" s="2652"/>
      <c r="C67" s="195" t="s">
        <v>186</v>
      </c>
      <c r="D67" s="163"/>
      <c r="E67" s="160"/>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c r="BT67" s="161"/>
      <c r="BU67" s="161"/>
      <c r="BV67" s="161"/>
      <c r="BW67" s="161"/>
      <c r="BX67" s="161"/>
      <c r="BY67" s="161"/>
      <c r="BZ67" s="161"/>
      <c r="CA67" s="161"/>
      <c r="CB67" s="161"/>
      <c r="CC67" s="161"/>
      <c r="CD67" s="161"/>
      <c r="CE67" s="161"/>
      <c r="CF67" s="161"/>
      <c r="CG67" s="161"/>
      <c r="CH67" s="161"/>
      <c r="CI67" s="161"/>
      <c r="CJ67" s="161"/>
      <c r="CK67" s="161"/>
      <c r="CL67" s="161"/>
      <c r="CM67" s="161"/>
      <c r="CN67" s="161"/>
      <c r="CO67" s="161"/>
      <c r="CP67" s="161"/>
      <c r="CQ67" s="161"/>
      <c r="CR67" s="161"/>
      <c r="CS67" s="161"/>
      <c r="CT67" s="161"/>
      <c r="CU67" s="161"/>
      <c r="CV67" s="161"/>
      <c r="CW67" s="161"/>
      <c r="CX67" s="161"/>
      <c r="CY67" s="162"/>
    </row>
    <row r="68" spans="1:105" s="1" customFormat="1" ht="56.25" customHeight="1" x14ac:dyDescent="0.25">
      <c r="A68" s="2650"/>
      <c r="B68" s="2652"/>
      <c r="C68" s="195" t="s">
        <v>194</v>
      </c>
      <c r="D68" s="1062"/>
      <c r="E68" s="160"/>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2"/>
    </row>
    <row r="69" spans="1:105" s="1" customFormat="1" ht="56.25" customHeight="1" thickBot="1" x14ac:dyDescent="0.3">
      <c r="A69" s="2650"/>
      <c r="B69" s="2653"/>
      <c r="C69" s="195" t="s">
        <v>186</v>
      </c>
      <c r="D69" s="165"/>
      <c r="E69" s="166"/>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c r="BS69" s="167"/>
      <c r="BT69" s="167"/>
      <c r="BU69" s="167"/>
      <c r="BV69" s="167"/>
      <c r="BW69" s="167"/>
      <c r="BX69" s="167"/>
      <c r="BY69" s="167"/>
      <c r="BZ69" s="167"/>
      <c r="CA69" s="167"/>
      <c r="CB69" s="167"/>
      <c r="CC69" s="167"/>
      <c r="CD69" s="167"/>
      <c r="CE69" s="167"/>
      <c r="CF69" s="167"/>
      <c r="CG69" s="167"/>
      <c r="CH69" s="167"/>
      <c r="CI69" s="167"/>
      <c r="CJ69" s="167"/>
      <c r="CK69" s="167"/>
      <c r="CL69" s="167"/>
      <c r="CM69" s="167"/>
      <c r="CN69" s="167"/>
      <c r="CO69" s="167"/>
      <c r="CP69" s="167"/>
      <c r="CQ69" s="167"/>
      <c r="CR69" s="167"/>
      <c r="CS69" s="167"/>
      <c r="CT69" s="167"/>
      <c r="CU69" s="167"/>
      <c r="CV69" s="167"/>
      <c r="CW69" s="167"/>
      <c r="CX69" s="167"/>
      <c r="CY69" s="168"/>
    </row>
    <row r="70" spans="1:105" s="169" customFormat="1" ht="18" x14ac:dyDescent="0.25">
      <c r="C70" s="170"/>
      <c r="E70" s="171"/>
      <c r="F70" s="171"/>
      <c r="G70" s="171"/>
      <c r="H70" s="171"/>
      <c r="I70" s="171"/>
      <c r="J70" s="171"/>
      <c r="K70" s="171"/>
      <c r="L70" s="171"/>
      <c r="M70" s="171"/>
      <c r="N70" s="171"/>
      <c r="O70" s="171"/>
      <c r="P70" s="171"/>
      <c r="Q70" s="171"/>
      <c r="R70" s="171"/>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2"/>
      <c r="BD70" s="172"/>
      <c r="BE70" s="172"/>
    </row>
    <row r="71" spans="1:105" s="175" customFormat="1" ht="18" x14ac:dyDescent="0.25">
      <c r="C71" s="1313"/>
      <c r="D71" s="1314" t="s">
        <v>269</v>
      </c>
      <c r="E71" s="1315"/>
      <c r="F71" s="1315"/>
      <c r="G71" s="1316"/>
      <c r="H71" s="1316"/>
      <c r="I71" s="1316"/>
      <c r="J71" s="1316"/>
      <c r="K71" s="1316"/>
      <c r="L71" s="1316"/>
      <c r="M71" s="1316"/>
      <c r="N71" s="1316"/>
      <c r="O71" s="1316"/>
      <c r="P71" s="1316"/>
      <c r="Q71" s="1316"/>
      <c r="R71" s="1316"/>
      <c r="S71" s="1317"/>
      <c r="T71" s="1318"/>
      <c r="U71" s="1318"/>
      <c r="V71" s="1318"/>
      <c r="W71" s="1318"/>
      <c r="X71" s="1318"/>
      <c r="Y71" s="1318"/>
      <c r="Z71" s="1318"/>
      <c r="AA71" s="1318"/>
      <c r="AB71" s="1318"/>
      <c r="AC71" s="1318"/>
      <c r="AD71" s="1318"/>
      <c r="AE71" s="1318"/>
      <c r="AF71" s="1318"/>
      <c r="AG71" s="1318"/>
      <c r="AH71" s="1318"/>
      <c r="AI71" s="1318"/>
      <c r="AJ71" s="1318"/>
      <c r="AK71" s="1318"/>
      <c r="AL71" s="1318"/>
      <c r="AM71" s="1318"/>
      <c r="AN71" s="1318"/>
      <c r="AO71" s="1318"/>
      <c r="AP71" s="1318"/>
      <c r="AQ71" s="1318"/>
      <c r="AR71" s="1318"/>
      <c r="AS71" s="1318"/>
      <c r="AT71" s="1318"/>
      <c r="AU71" s="1318"/>
      <c r="AV71" s="1318"/>
      <c r="AW71" s="1318"/>
      <c r="AX71" s="1318"/>
      <c r="AY71" s="1318"/>
      <c r="AZ71" s="1318"/>
      <c r="BA71" s="1318"/>
      <c r="BB71" s="1318"/>
      <c r="BC71" s="1318"/>
      <c r="BD71" s="1318"/>
      <c r="BE71" s="1318"/>
    </row>
    <row r="72" spans="1:105" s="175" customFormat="1" ht="18" x14ac:dyDescent="0.25">
      <c r="C72" s="1313"/>
      <c r="D72" s="173" t="s">
        <v>270</v>
      </c>
      <c r="E72" s="174">
        <f>IFERROR(INDEX(TablaMaxCalifPos[],MATCH(E16,HALLAZGOS,0),MATCH($B$8,TablaMaxCalifPos[#Headers],0))*IFERROR(SEARCH("*FISCAL*",E16,1)*(1-(E17/E9)),1)*(AVERAGEIF($C$22:$C$69,"*EFICACIA*",E22:E69)),"")</f>
        <v>4.6242424242424231E-2</v>
      </c>
      <c r="F72" s="174">
        <f>IFERROR(INDEX(TablaMaxCalifPos[],MATCH(F16,HALLAZGOS,0),MATCH($B$8,TablaMaxCalifPos[#Headers],0))*IFERROR(SEARCH("*FISCAL*",F16,1)*(1-(F17/F9)),1)*(AVERAGEIF($C$22:$C$69,"*EFICACIA*",F22:F69)),"")</f>
        <v>6.7277777777777756E-2</v>
      </c>
      <c r="G72" s="174">
        <f>IFERROR(INDEX(TablaMaxCalifPos[],MATCH(G16,HALLAZGOS,0),MATCH($B$8,TablaMaxCalifPos[#Headers],0))*IFERROR(SEARCH("*FISCAL*",G16,1)*(1-(G17/G9)),1)*(AVERAGEIF($C$22:$C$69,"*EFICACIA*",G22:G69)),"")</f>
        <v>0.67272727272727284</v>
      </c>
      <c r="H72" s="174">
        <f>IFERROR(INDEX(TablaMaxCalifPos[],MATCH(H16,HALLAZGOS,0),MATCH($B$8,TablaMaxCalifPos[#Headers],0))*IFERROR(SEARCH("*FISCAL*",H16,1)*(1-(H17/H9)),1)*(AVERAGEIF($C$22:$C$69,"*EFICACIA*",H22:H69)),"")</f>
        <v>0.35361757105943153</v>
      </c>
      <c r="I72" s="174">
        <f>IFERROR(INDEX(TablaMaxCalifPos[],MATCH(I16,HALLAZGOS,0),MATCH($B$8,TablaMaxCalifPos[#Headers],0))*IFERROR(SEARCH("*FISCAL*",I16,1)*(1-(I17/I9)),1)*(AVERAGEIF($C$22:$C$69,"*EFICACIA*",I22:I69)),"")</f>
        <v>1</v>
      </c>
      <c r="J72" s="174">
        <f>IFERROR(INDEX(TablaMaxCalifPos[],MATCH(J16,HALLAZGOS,0),MATCH($B$8,TablaMaxCalifPos[#Headers],0))*IFERROR(SEARCH("*FISCAL*",J16,1)*(1-(J17/J9)),1)*(AVERAGEIF($C$22:$C$69,"*EFICACIA*",J22:J69)),"")</f>
        <v>0.89090909090909098</v>
      </c>
      <c r="K72" s="174">
        <f>IFERROR(INDEX(TablaMaxCalifPos[],MATCH(K16,HALLAZGOS,0),MATCH($B$8,TablaMaxCalifPos[#Headers],0))*IFERROR(SEARCH("*FISCAL*",K16,1)*(1-(K17/K9)),1)*(AVERAGEIF($C$22:$C$69,"*EFICACIA*",K22:K69)),"")</f>
        <v>0.89285714285714302</v>
      </c>
      <c r="L72" s="174" t="str">
        <f>IFERROR(INDEX(TablaMaxCalifPos[],MATCH(L16,HALLAZGOS,0),MATCH($B$8,TablaMaxCalifPos[#Headers],0))*IFERROR(SEARCH("*FISCAL*",L16,1)*(1-(L17/L9)),1)*(AVERAGEIF($C$22:$C$69,"*EFICACIA*",L22:L69)),"")</f>
        <v/>
      </c>
      <c r="M72" s="174" t="str">
        <f>IFERROR(INDEX(TablaMaxCalifPos[],MATCH(M16,HALLAZGOS,0),MATCH($B$8,TablaMaxCalifPos[#Headers],0))*IFERROR(SEARCH("*FISCAL*",M16,1)*(1-(M17/M9)),1)*(AVERAGEIF($C$22:$C$69,"*EFICACIA*",M22:M69)),"")</f>
        <v/>
      </c>
      <c r="N72" s="174" t="str">
        <f>IFERROR(INDEX(TablaMaxCalifPos[],MATCH(N16,HALLAZGOS,0),MATCH($B$8,TablaMaxCalifPos[#Headers],0))*IFERROR(SEARCH("*FISCAL*",N16,1)*(1-(N17/N9)),1)*(AVERAGEIF($C$22:$C$69,"*EFICACIA*",N22:N69)),"")</f>
        <v/>
      </c>
      <c r="O72" s="174" t="str">
        <f>IFERROR(INDEX(TablaMaxCalifPos[],MATCH(O16,HALLAZGOS,0),MATCH($B$8,TablaMaxCalifPos[#Headers],0))*IFERROR(SEARCH("*FISCAL*",O16,1)*(1-(O17/O9)),1)*(AVERAGEIF($C$22:$C$69,"*EFICACIA*",O22:O69)),"")</f>
        <v/>
      </c>
      <c r="P72" s="174" t="str">
        <f>IFERROR(INDEX(TablaMaxCalifPos[],MATCH(P16,HALLAZGOS,0),MATCH($B$8,TablaMaxCalifPos[#Headers],0))*IFERROR(SEARCH("*FISCAL*",P16,1)*(1-(P17/P9)),1)*(AVERAGEIF($C$22:$C$69,"*EFICACIA*",P22:P69)),"")</f>
        <v/>
      </c>
      <c r="Q72" s="174" t="str">
        <f>IFERROR(INDEX(TablaMaxCalifPos[],MATCH(Q16,HALLAZGOS,0),MATCH($B$8,TablaMaxCalifPos[#Headers],0))*IFERROR(SEARCH("*FISCAL*",Q16,1)*(1-(Q17/Q9)),1)*(AVERAGEIF($C$22:$C$69,"*EFICACIA*",Q22:Q69)),"")</f>
        <v/>
      </c>
      <c r="R72" s="174" t="str">
        <f>IFERROR(INDEX(TablaMaxCalifPos[],MATCH(R16,HALLAZGOS,0),MATCH($B$8,TablaMaxCalifPos[#Headers],0))*IFERROR(SEARCH("*FISCAL*",R16,1)*(1-(R17/R9)),1)*(AVERAGEIF($C$22:$C$69,"*EFICACIA*",R22:R69)),"")</f>
        <v/>
      </c>
      <c r="S72" s="174" t="str">
        <f>IFERROR(INDEX(TablaMaxCalifPos[],MATCH(S16,HALLAZGOS,0),MATCH($B$8,TablaMaxCalifPos[#Headers],0))*IFERROR(SEARCH("*FISCAL*",S16,1)*(1-(S17/S9)),1)*(AVERAGEIF($C$22:$C$69,"*EFICACIA*",S22:S69)),"")</f>
        <v/>
      </c>
      <c r="T72" s="174" t="str">
        <f>IFERROR(INDEX(TablaMaxCalifPos[],MATCH(T16,HALLAZGOS,0),MATCH($B$8,TablaMaxCalifPos[#Headers],0))*IFERROR(SEARCH("*FISCAL*",T16,1)*(1-(T17/T9)),1)*(AVERAGEIF($C$22:$C$69,"*EFICACIA*",T22:T69)),"")</f>
        <v/>
      </c>
      <c r="U72" s="174" t="str">
        <f>IFERROR(INDEX(TablaMaxCalifPos[],MATCH(U16,HALLAZGOS,0),MATCH($B$8,TablaMaxCalifPos[#Headers],0))*IFERROR(SEARCH("*FISCAL*",U16,1)*(1-(U17/U9)),1)*(AVERAGEIF($C$22:$C$69,"*EFICACIA*",U22:U69)),"")</f>
        <v/>
      </c>
      <c r="V72" s="174" t="str">
        <f>IFERROR(INDEX(TablaMaxCalifPos[],MATCH(V16,HALLAZGOS,0),MATCH($B$8,TablaMaxCalifPos[#Headers],0))*IFERROR(SEARCH("*FISCAL*",V16,1)*(1-(V17/V9)),1)*(AVERAGEIF($C$22:$C$69,"*EFICACIA*",V22:V69)),"")</f>
        <v/>
      </c>
      <c r="W72" s="174" t="str">
        <f>IFERROR(INDEX(TablaMaxCalifPos[],MATCH(W16,HALLAZGOS,0),MATCH($B$8,TablaMaxCalifPos[#Headers],0))*IFERROR(SEARCH("*FISCAL*",W16,1)*(1-(W17/W9)),1)*(AVERAGEIF($C$22:$C$69,"*EFICACIA*",W22:W69)),"")</f>
        <v/>
      </c>
      <c r="X72" s="174" t="str">
        <f>IFERROR(INDEX(TablaMaxCalifPos[],MATCH(X16,HALLAZGOS,0),MATCH($B$8,TablaMaxCalifPos[#Headers],0))*IFERROR(SEARCH("*FISCAL*",X16,1)*(1-(X17/X9)),1)*(AVERAGEIF($C$22:$C$69,"*EFICACIA*",X22:X69)),"")</f>
        <v/>
      </c>
      <c r="Y72" s="174" t="str">
        <f>IFERROR(INDEX(TablaMaxCalifPos[],MATCH(Y16,HALLAZGOS,0),MATCH($B$8,TablaMaxCalifPos[#Headers],0))*IFERROR(SEARCH("*FISCAL*",Y16,1)*(1-(Y17/Y9)),1)*(AVERAGEIF($C$22:$C$69,"*EFICACIA*",Y22:Y69)),"")</f>
        <v/>
      </c>
      <c r="Z72" s="174" t="str">
        <f>IFERROR(INDEX(TablaMaxCalifPos[],MATCH(Z16,HALLAZGOS,0),MATCH($B$8,TablaMaxCalifPos[#Headers],0))*IFERROR(SEARCH("*FISCAL*",Z16,1)*(1-(Z17/Z9)),1)*(AVERAGEIF($C$22:$C$69,"*EFICACIA*",Z22:Z69)),"")</f>
        <v/>
      </c>
      <c r="AA72" s="174" t="str">
        <f>IFERROR(INDEX(TablaMaxCalifPos[],MATCH(AA16,HALLAZGOS,0),MATCH($B$8,TablaMaxCalifPos[#Headers],0))*IFERROR(SEARCH("*FISCAL*",AA16,1)*(1-(AA17/AA9)),1)*(AVERAGEIF($C$22:$C$69,"*EFICACIA*",AA22:AA69)),"")</f>
        <v/>
      </c>
      <c r="AB72" s="174" t="str">
        <f>IFERROR(INDEX(TablaMaxCalifPos[],MATCH(AB16,HALLAZGOS,0),MATCH($B$8,TablaMaxCalifPos[#Headers],0))*IFERROR(SEARCH("*FISCAL*",AB16,1)*(1-(AB17/AB9)),1)*(AVERAGEIF($C$22:$C$69,"*EFICACIA*",AB22:AB69)),"")</f>
        <v/>
      </c>
      <c r="AC72" s="174" t="str">
        <f>IFERROR(INDEX(TablaMaxCalifPos[],MATCH(AC16,HALLAZGOS,0),MATCH($B$8,TablaMaxCalifPos[#Headers],0))*IFERROR(SEARCH("*FISCAL*",AC16,1)*(1-(AC17/AC9)),1)*(AVERAGEIF($C$22:$C$69,"*EFICACIA*",AC22:AC69)),"")</f>
        <v/>
      </c>
      <c r="AD72" s="174" t="str">
        <f>IFERROR(INDEX(TablaMaxCalifPos[],MATCH(AD16,HALLAZGOS,0),MATCH($B$8,TablaMaxCalifPos[#Headers],0))*IFERROR(SEARCH("*FISCAL*",AD16,1)*(1-(AD17/AD9)),1)*(AVERAGEIF($C$22:$C$69,"*EFICACIA*",AD22:AD69)),"")</f>
        <v/>
      </c>
      <c r="AE72" s="174" t="str">
        <f>IFERROR(INDEX(TablaMaxCalifPos[],MATCH(AE16,HALLAZGOS,0),MATCH($B$8,TablaMaxCalifPos[#Headers],0))*IFERROR(SEARCH("*FISCAL*",AE16,1)*(1-(AE17/AE9)),1)*(AVERAGEIF($C$22:$C$69,"*EFICACIA*",AE22:AE69)),"")</f>
        <v/>
      </c>
      <c r="AF72" s="174" t="str">
        <f>IFERROR(INDEX(TablaMaxCalifPos[],MATCH(AF16,HALLAZGOS,0),MATCH($B$8,TablaMaxCalifPos[#Headers],0))*IFERROR(SEARCH("*FISCAL*",AF16,1)*(1-(AF17/AF9)),1)*(AVERAGEIF($C$22:$C$69,"*EFICACIA*",AF22:AF69)),"")</f>
        <v/>
      </c>
      <c r="AG72" s="174" t="str">
        <f>IFERROR(INDEX(TablaMaxCalifPos[],MATCH(AG16,HALLAZGOS,0),MATCH($B$8,TablaMaxCalifPos[#Headers],0))*IFERROR(SEARCH("*FISCAL*",AG16,1)*(1-(AG17/AG9)),1)*(AVERAGEIF($C$22:$C$69,"*EFICACIA*",AG22:AG69)),"")</f>
        <v/>
      </c>
      <c r="AH72" s="174" t="str">
        <f>IFERROR(INDEX(TablaMaxCalifPos[],MATCH(AH16,HALLAZGOS,0),MATCH($B$8,TablaMaxCalifPos[#Headers],0))*IFERROR(SEARCH("*FISCAL*",AH16,1)*(1-(AH17/AH9)),1)*(AVERAGEIF($C$22:$C$69,"*EFICACIA*",AH22:AH69)),"")</f>
        <v/>
      </c>
      <c r="AI72" s="174" t="str">
        <f>IFERROR(INDEX(TablaMaxCalifPos[],MATCH(AI16,HALLAZGOS,0),MATCH($B$8,TablaMaxCalifPos[#Headers],0))*IFERROR(SEARCH("*FISCAL*",AI16,1)*(1-(AI17/AI9)),1)*(AVERAGEIF($C$22:$C$69,"*EFICACIA*",AI22:AI69)),"")</f>
        <v/>
      </c>
      <c r="AJ72" s="174" t="str">
        <f>IFERROR(INDEX(TablaMaxCalifPos[],MATCH(AJ16,HALLAZGOS,0),MATCH($B$8,TablaMaxCalifPos[#Headers],0))*IFERROR(SEARCH("*FISCAL*",AJ16,1)*(1-(AJ17/AJ9)),1)*(AVERAGEIF($C$22:$C$69,"*EFICACIA*",AJ22:AJ69)),"")</f>
        <v/>
      </c>
      <c r="AK72" s="174" t="str">
        <f>IFERROR(INDEX(TablaMaxCalifPos[],MATCH(AK16,HALLAZGOS,0),MATCH($B$8,TablaMaxCalifPos[#Headers],0))*IFERROR(SEARCH("*FISCAL*",AK16,1)*(1-(AK17/AK9)),1)*(AVERAGEIF($C$22:$C$69,"*EFICACIA*",AK22:AK69)),"")</f>
        <v/>
      </c>
      <c r="AL72" s="174" t="str">
        <f>IFERROR(INDEX(TablaMaxCalifPos[],MATCH(AL16,HALLAZGOS,0),MATCH($B$8,TablaMaxCalifPos[#Headers],0))*IFERROR(SEARCH("*FISCAL*",AL16,1)*(1-(AL17/AL9)),1)*(AVERAGEIF($C$22:$C$69,"*EFICACIA*",AL22:AL69)),"")</f>
        <v/>
      </c>
      <c r="AM72" s="174" t="str">
        <f>IFERROR(INDEX(TablaMaxCalifPos[],MATCH(AM16,HALLAZGOS,0),MATCH($B$8,TablaMaxCalifPos[#Headers],0))*IFERROR(SEARCH("*FISCAL*",AM16,1)*(1-(AM17/AM9)),1)*(AVERAGEIF($C$22:$C$69,"*EFICACIA*",AM22:AM69)),"")</f>
        <v/>
      </c>
      <c r="AN72" s="174" t="str">
        <f>IFERROR(INDEX(TablaMaxCalifPos[],MATCH(AN16,HALLAZGOS,0),MATCH($B$8,TablaMaxCalifPos[#Headers],0))*IFERROR(SEARCH("*FISCAL*",AN16,1)*(1-(AN17/AN9)),1)*(AVERAGEIF($C$22:$C$69,"*EFICACIA*",AN22:AN69)),"")</f>
        <v/>
      </c>
      <c r="AO72" s="174" t="str">
        <f>IFERROR(INDEX(TablaMaxCalifPos[],MATCH(AO16,HALLAZGOS,0),MATCH($B$8,TablaMaxCalifPos[#Headers],0))*IFERROR(SEARCH("*FISCAL*",AO16,1)*(1-(AO17/AO9)),1)*(AVERAGEIF($C$22:$C$69,"*EFICACIA*",AO22:AO69)),"")</f>
        <v/>
      </c>
      <c r="AP72" s="174" t="str">
        <f>IFERROR(INDEX(TablaMaxCalifPos[],MATCH(AP16,HALLAZGOS,0),MATCH($B$8,TablaMaxCalifPos[#Headers],0))*IFERROR(SEARCH("*FISCAL*",AP16,1)*(1-(AP17/AP9)),1)*(AVERAGEIF($C$22:$C$69,"*EFICACIA*",AP22:AP69)),"")</f>
        <v/>
      </c>
      <c r="AQ72" s="174" t="str">
        <f>IFERROR(INDEX(TablaMaxCalifPos[],MATCH(AQ16,HALLAZGOS,0),MATCH($B$8,TablaMaxCalifPos[#Headers],0))*IFERROR(SEARCH("*FISCAL*",AQ16,1)*(1-(AQ17/AQ9)),1)*(AVERAGEIF($C$22:$C$69,"*EFICACIA*",AQ22:AQ69)),"")</f>
        <v/>
      </c>
      <c r="AR72" s="174" t="str">
        <f>IFERROR(INDEX(TablaMaxCalifPos[],MATCH(AR16,HALLAZGOS,0),MATCH($B$8,TablaMaxCalifPos[#Headers],0))*IFERROR(SEARCH("*FISCAL*",AR16,1)*(1-(AR17/AR9)),1)*(AVERAGEIF($C$22:$C$69,"*EFICACIA*",AR22:AR69)),"")</f>
        <v/>
      </c>
      <c r="AS72" s="174" t="str">
        <f>IFERROR(INDEX(TablaMaxCalifPos[],MATCH(AS16,HALLAZGOS,0),MATCH($B$8,TablaMaxCalifPos[#Headers],0))*IFERROR(SEARCH("*FISCAL*",AS16,1)*(1-(AS17/AS9)),1)*(AVERAGEIF($C$22:$C$69,"*EFICACIA*",AS22:AS69)),"")</f>
        <v/>
      </c>
      <c r="AT72" s="174" t="str">
        <f>IFERROR(INDEX(TablaMaxCalifPos[],MATCH(AT16,HALLAZGOS,0),MATCH($B$8,TablaMaxCalifPos[#Headers],0))*IFERROR(SEARCH("*FISCAL*",AT16,1)*(1-(AT17/AT9)),1)*(AVERAGEIF($C$22:$C$69,"*EFICACIA*",AT22:AT69)),"")</f>
        <v/>
      </c>
      <c r="AU72" s="174" t="str">
        <f>IFERROR(INDEX(TablaMaxCalifPos[],MATCH(AU16,HALLAZGOS,0),MATCH($B$8,TablaMaxCalifPos[#Headers],0))*IFERROR(SEARCH("*FISCAL*",AU16,1)*(1-(AU17/AU9)),1)*(AVERAGEIF($C$22:$C$69,"*EFICACIA*",AU22:AU69)),"")</f>
        <v/>
      </c>
      <c r="AV72" s="174" t="str">
        <f>IFERROR(INDEX(TablaMaxCalifPos[],MATCH(AV16,HALLAZGOS,0),MATCH($B$8,TablaMaxCalifPos[#Headers],0))*IFERROR(SEARCH("*FISCAL*",AV16,1)*(1-(AV17/AV9)),1)*(AVERAGEIF($C$22:$C$69,"*EFICACIA*",AV22:AV69)),"")</f>
        <v/>
      </c>
      <c r="AW72" s="174" t="str">
        <f>IFERROR(INDEX(TablaMaxCalifPos[],MATCH(AW16,HALLAZGOS,0),MATCH($B$8,TablaMaxCalifPos[#Headers],0))*IFERROR(SEARCH("*FISCAL*",AW16,1)*(1-(AW17/AW9)),1)*(AVERAGEIF($C$22:$C$69,"*EFICACIA*",AW22:AW69)),"")</f>
        <v/>
      </c>
      <c r="AX72" s="174" t="str">
        <f>IFERROR(INDEX(TablaMaxCalifPos[],MATCH(AX16,HALLAZGOS,0),MATCH($B$8,TablaMaxCalifPos[#Headers],0))*IFERROR(SEARCH("*FISCAL*",AX16,1)*(1-(AX17/AX9)),1)*(AVERAGEIF($C$22:$C$69,"*EFICACIA*",AX22:AX69)),"")</f>
        <v/>
      </c>
      <c r="AY72" s="174" t="str">
        <f>IFERROR(INDEX(TablaMaxCalifPos[],MATCH(AY16,HALLAZGOS,0),MATCH($B$8,TablaMaxCalifPos[#Headers],0))*IFERROR(SEARCH("*FISCAL*",AY16,1)*(1-(AY17/AY9)),1)*(AVERAGEIF($C$22:$C$69,"*EFICACIA*",AY22:AY69)),"")</f>
        <v/>
      </c>
      <c r="AZ72" s="174" t="str">
        <f>IFERROR(INDEX(TablaMaxCalifPos[],MATCH(AZ16,HALLAZGOS,0),MATCH($B$8,TablaMaxCalifPos[#Headers],0))*IFERROR(SEARCH("*FISCAL*",AZ16,1)*(1-(AZ17/AZ9)),1)*(AVERAGEIF($C$22:$C$69,"*EFICACIA*",AZ22:AZ69)),"")</f>
        <v/>
      </c>
      <c r="BA72" s="174" t="str">
        <f>IFERROR(INDEX(TablaMaxCalifPos[],MATCH(BA16,HALLAZGOS,0),MATCH($B$8,TablaMaxCalifPos[#Headers],0))*IFERROR(SEARCH("*FISCAL*",BA16,1)*(1-(BA17/BA9)),1)*(AVERAGEIF($C$22:$C$69,"*EFICACIA*",BA22:BA69)),"")</f>
        <v/>
      </c>
      <c r="BB72" s="174" t="str">
        <f>IFERROR(INDEX(TablaMaxCalifPos[],MATCH(BB16,HALLAZGOS,0),MATCH($B$8,TablaMaxCalifPos[#Headers],0))*IFERROR(SEARCH("*FISCAL*",BB16,1)*(1-(BB17/BB9)),1)*(AVERAGEIF($C$22:$C$69,"*EFICACIA*",BB22:BB69)),"")</f>
        <v/>
      </c>
      <c r="BC72" s="174" t="str">
        <f>IFERROR(INDEX(TablaMaxCalifPos[],MATCH(BC16,HALLAZGOS,0),MATCH($B$8,TablaMaxCalifPos[#Headers],0))*IFERROR(SEARCH("*FISCAL*",BC16,1)*(1-(BC17/BC9)),1)*(AVERAGEIF($C$22:$C$69,"*EFICACIA*",BC22:BC69)),"")</f>
        <v/>
      </c>
      <c r="BD72" s="174" t="str">
        <f>IFERROR(INDEX(TablaMaxCalifPos[],MATCH(BD16,HALLAZGOS,0),MATCH($B$8,TablaMaxCalifPos[#Headers],0))*IFERROR(SEARCH("*FISCAL*",BD16,1)*(1-(BD17/BD9)),1)*(AVERAGEIF($C$22:$C$69,"*EFICACIA*",BD22:BD69)),"")</f>
        <v/>
      </c>
      <c r="BE72" s="174" t="str">
        <f>IFERROR(INDEX(TablaMaxCalifPos[],MATCH(BE16,HALLAZGOS,0),MATCH($B$8,TablaMaxCalifPos[#Headers],0))*IFERROR(SEARCH("*FISCAL*",BE16,1)*(1-(BE17/BE9)),1)*(AVERAGEIF($C$22:$C$69,"*EFICACIA*",BE22:BE69)),"")</f>
        <v/>
      </c>
      <c r="BF72" s="174" t="str">
        <f>IFERROR(INDEX(TablaMaxCalifPos[],MATCH(BF16,HALLAZGOS,0),MATCH($B$8,TablaMaxCalifPos[#Headers],0))*IFERROR(SEARCH("*FISCAL*",BF16,1)*(1-(BF17/BF9)),1)*(AVERAGEIF($C$22:$C$69,"*EFICACIA*",BF22:BF69)),"")</f>
        <v/>
      </c>
      <c r="BG72" s="174" t="str">
        <f>IFERROR(INDEX(TablaMaxCalifPos[],MATCH(BG16,HALLAZGOS,0),MATCH($B$8,TablaMaxCalifPos[#Headers],0))*IFERROR(SEARCH("*FISCAL*",BG16,1)*(1-(BG17/BG9)),1)*(AVERAGEIF($C$22:$C$69,"*EFICACIA*",BG22:BG69)),"")</f>
        <v/>
      </c>
      <c r="BH72" s="174" t="str">
        <f>IFERROR(INDEX(TablaMaxCalifPos[],MATCH(BH16,HALLAZGOS,0),MATCH($B$8,TablaMaxCalifPos[#Headers],0))*IFERROR(SEARCH("*FISCAL*",BH16,1)*(1-(BH17/BH9)),1)*(AVERAGEIF($C$22:$C$69,"*EFICACIA*",BH22:BH69)),"")</f>
        <v/>
      </c>
      <c r="BI72" s="174" t="str">
        <f>IFERROR(INDEX(TablaMaxCalifPos[],MATCH(BI16,HALLAZGOS,0),MATCH($B$8,TablaMaxCalifPos[#Headers],0))*IFERROR(SEARCH("*FISCAL*",BI16,1)*(1-(BI17/BI9)),1)*(AVERAGEIF($C$22:$C$69,"*EFICACIA*",BI22:BI69)),"")</f>
        <v/>
      </c>
      <c r="BJ72" s="174" t="str">
        <f>IFERROR(INDEX(TablaMaxCalifPos[],MATCH(BJ16,HALLAZGOS,0),MATCH($B$8,TablaMaxCalifPos[#Headers],0))*IFERROR(SEARCH("*FISCAL*",BJ16,1)*(1-(BJ17/BJ9)),1)*(AVERAGEIF($C$22:$C$69,"*EFICACIA*",BJ22:BJ69)),"")</f>
        <v/>
      </c>
      <c r="BK72" s="174" t="str">
        <f>IFERROR(INDEX(TablaMaxCalifPos[],MATCH(BK16,HALLAZGOS,0),MATCH($B$8,TablaMaxCalifPos[#Headers],0))*IFERROR(SEARCH("*FISCAL*",BK16,1)*(1-(BK17/BK9)),1)*(AVERAGEIF($C$22:$C$69,"*EFICACIA*",BK22:BK69)),"")</f>
        <v/>
      </c>
      <c r="BL72" s="174" t="str">
        <f>IFERROR(INDEX(TablaMaxCalifPos[],MATCH(BL16,HALLAZGOS,0),MATCH($B$8,TablaMaxCalifPos[#Headers],0))*IFERROR(SEARCH("*FISCAL*",BL16,1)*(1-(BL17/BL9)),1)*(AVERAGEIF($C$22:$C$69,"*EFICACIA*",BL22:BL69)),"")</f>
        <v/>
      </c>
      <c r="BM72" s="174" t="str">
        <f>IFERROR(INDEX(TablaMaxCalifPos[],MATCH(BM16,HALLAZGOS,0),MATCH($B$8,TablaMaxCalifPos[#Headers],0))*IFERROR(SEARCH("*FISCAL*",BM16,1)*(1-(BM17/BM9)),1)*(AVERAGEIF($C$22:$C$69,"*EFICACIA*",BM22:BM69)),"")</f>
        <v/>
      </c>
      <c r="BN72" s="174" t="str">
        <f>IFERROR(INDEX(TablaMaxCalifPos[],MATCH(BN16,HALLAZGOS,0),MATCH($B$8,TablaMaxCalifPos[#Headers],0))*IFERROR(SEARCH("*FISCAL*",BN16,1)*(1-(BN17/BN9)),1)*(AVERAGEIF($C$22:$C$69,"*EFICACIA*",BN22:BN69)),"")</f>
        <v/>
      </c>
      <c r="BO72" s="174" t="str">
        <f>IFERROR(INDEX(TablaMaxCalifPos[],MATCH(BO16,HALLAZGOS,0),MATCH($B$8,TablaMaxCalifPos[#Headers],0))*IFERROR(SEARCH("*FISCAL*",BO16,1)*(1-(BO17/BO9)),1)*(AVERAGEIF($C$22:$C$69,"*EFICACIA*",BO22:BO69)),"")</f>
        <v/>
      </c>
      <c r="BP72" s="174" t="str">
        <f>IFERROR(INDEX(TablaMaxCalifPos[],MATCH(BP16,HALLAZGOS,0),MATCH($B$8,TablaMaxCalifPos[#Headers],0))*IFERROR(SEARCH("*FISCAL*",BP16,1)*(1-(BP17/BP9)),1)*(AVERAGEIF($C$22:$C$69,"*EFICACIA*",BP22:BP69)),"")</f>
        <v/>
      </c>
      <c r="BQ72" s="174" t="str">
        <f>IFERROR(INDEX(TablaMaxCalifPos[],MATCH(BQ16,HALLAZGOS,0),MATCH($B$8,TablaMaxCalifPos[#Headers],0))*IFERROR(SEARCH("*FISCAL*",BQ16,1)*(1-(BQ17/BQ9)),1)*(AVERAGEIF($C$22:$C$69,"*EFICACIA*",BQ22:BQ69)),"")</f>
        <v/>
      </c>
      <c r="BR72" s="174" t="str">
        <f>IFERROR(INDEX(TablaMaxCalifPos[],MATCH(BR16,HALLAZGOS,0),MATCH($B$8,TablaMaxCalifPos[#Headers],0))*IFERROR(SEARCH("*FISCAL*",BR16,1)*(1-(BR17/BR9)),1)*(AVERAGEIF($C$22:$C$69,"*EFICACIA*",BR22:BR69)),"")</f>
        <v/>
      </c>
      <c r="BS72" s="174" t="str">
        <f>IFERROR(INDEX(TablaMaxCalifPos[],MATCH(BS16,HALLAZGOS,0),MATCH($B$8,TablaMaxCalifPos[#Headers],0))*IFERROR(SEARCH("*FISCAL*",BS16,1)*(1-(BS17/BS9)),1)*(AVERAGEIF($C$22:$C$69,"*EFICACIA*",BS22:BS69)),"")</f>
        <v/>
      </c>
      <c r="BT72" s="174" t="str">
        <f>IFERROR(INDEX(TablaMaxCalifPos[],MATCH(BT16,HALLAZGOS,0),MATCH($B$8,TablaMaxCalifPos[#Headers],0))*IFERROR(SEARCH("*FISCAL*",BT16,1)*(1-(BT17/BT9)),1)*(AVERAGEIF($C$22:$C$69,"*EFICACIA*",BT22:BT69)),"")</f>
        <v/>
      </c>
      <c r="BU72" s="174" t="str">
        <f>IFERROR(INDEX(TablaMaxCalifPos[],MATCH(BU16,HALLAZGOS,0),MATCH($B$8,TablaMaxCalifPos[#Headers],0))*IFERROR(SEARCH("*FISCAL*",BU16,1)*(1-(BU17/BU9)),1)*(AVERAGEIF($C$22:$C$69,"*EFICACIA*",BU22:BU69)),"")</f>
        <v/>
      </c>
      <c r="BV72" s="174" t="str">
        <f>IFERROR(INDEX(TablaMaxCalifPos[],MATCH(BV16,HALLAZGOS,0),MATCH($B$8,TablaMaxCalifPos[#Headers],0))*IFERROR(SEARCH("*FISCAL*",BV16,1)*(1-(BV17/BV9)),1)*(AVERAGEIF($C$22:$C$69,"*EFICACIA*",BV22:BV69)),"")</f>
        <v/>
      </c>
      <c r="BW72" s="174" t="str">
        <f>IFERROR(INDEX(TablaMaxCalifPos[],MATCH(BW16,HALLAZGOS,0),MATCH($B$8,TablaMaxCalifPos[#Headers],0))*IFERROR(SEARCH("*FISCAL*",BW16,1)*(1-(BW17/BW9)),1)*(AVERAGEIF($C$22:$C$69,"*EFICACIA*",BW22:BW69)),"")</f>
        <v/>
      </c>
      <c r="BX72" s="174" t="str">
        <f>IFERROR(INDEX(TablaMaxCalifPos[],MATCH(BX16,HALLAZGOS,0),MATCH($B$8,TablaMaxCalifPos[#Headers],0))*IFERROR(SEARCH("*FISCAL*",BX16,1)*(1-(BX17/BX9)),1)*(AVERAGEIF($C$22:$C$69,"*EFICACIA*",BX22:BX69)),"")</f>
        <v/>
      </c>
      <c r="BY72" s="174" t="str">
        <f>IFERROR(INDEX(TablaMaxCalifPos[],MATCH(BY16,HALLAZGOS,0),MATCH($B$8,TablaMaxCalifPos[#Headers],0))*IFERROR(SEARCH("*FISCAL*",BY16,1)*(1-(BY17/BY9)),1)*(AVERAGEIF($C$22:$C$69,"*EFICACIA*",BY22:BY69)),"")</f>
        <v/>
      </c>
      <c r="BZ72" s="174" t="str">
        <f>IFERROR(INDEX(TablaMaxCalifPos[],MATCH(BZ16,HALLAZGOS,0),MATCH($B$8,TablaMaxCalifPos[#Headers],0))*IFERROR(SEARCH("*FISCAL*",BZ16,1)*(1-(BZ17/BZ9)),1)*(AVERAGEIF($C$22:$C$69,"*EFICACIA*",BZ22:BZ69)),"")</f>
        <v/>
      </c>
      <c r="CA72" s="174" t="str">
        <f>IFERROR(INDEX(TablaMaxCalifPos[],MATCH(CA16,HALLAZGOS,0),MATCH($B$8,TablaMaxCalifPos[#Headers],0))*IFERROR(SEARCH("*FISCAL*",CA16,1)*(1-(CA17/CA9)),1)*(AVERAGEIF($C$22:$C$69,"*EFICACIA*",CA22:CA69)),"")</f>
        <v/>
      </c>
      <c r="CB72" s="174" t="str">
        <f>IFERROR(INDEX(TablaMaxCalifPos[],MATCH(CB16,HALLAZGOS,0),MATCH($B$8,TablaMaxCalifPos[#Headers],0))*IFERROR(SEARCH("*FISCAL*",CB16,1)*(1-(CB17/CB9)),1)*(AVERAGEIF($C$22:$C$69,"*EFICACIA*",CB22:CB69)),"")</f>
        <v/>
      </c>
      <c r="CC72" s="174" t="str">
        <f>IFERROR(INDEX(TablaMaxCalifPos[],MATCH(CC16,HALLAZGOS,0),MATCH($B$8,TablaMaxCalifPos[#Headers],0))*IFERROR(SEARCH("*FISCAL*",CC16,1)*(1-(CC17/CC9)),1)*(AVERAGEIF($C$22:$C$69,"*EFICACIA*",CC22:CC69)),"")</f>
        <v/>
      </c>
      <c r="CD72" s="174" t="str">
        <f>IFERROR(INDEX(TablaMaxCalifPos[],MATCH(CD16,HALLAZGOS,0),MATCH($B$8,TablaMaxCalifPos[#Headers],0))*IFERROR(SEARCH("*FISCAL*",CD16,1)*(1-(CD17/CD9)),1)*(AVERAGEIF($C$22:$C$69,"*EFICACIA*",CD22:CD69)),"")</f>
        <v/>
      </c>
      <c r="CE72" s="174" t="str">
        <f>IFERROR(INDEX(TablaMaxCalifPos[],MATCH(CE16,HALLAZGOS,0),MATCH($B$8,TablaMaxCalifPos[#Headers],0))*IFERROR(SEARCH("*FISCAL*",CE16,1)*(1-(CE17/CE9)),1)*(AVERAGEIF($C$22:$C$69,"*EFICACIA*",CE22:CE69)),"")</f>
        <v/>
      </c>
      <c r="CF72" s="174" t="str">
        <f>IFERROR(INDEX(TablaMaxCalifPos[],MATCH(CF16,HALLAZGOS,0),MATCH($B$8,TablaMaxCalifPos[#Headers],0))*IFERROR(SEARCH("*FISCAL*",CF16,1)*(1-(CF17/CF9)),1)*(AVERAGEIF($C$22:$C$69,"*EFICACIA*",CF22:CF69)),"")</f>
        <v/>
      </c>
      <c r="CG72" s="174" t="str">
        <f>IFERROR(INDEX(TablaMaxCalifPos[],MATCH(CG16,HALLAZGOS,0),MATCH($B$8,TablaMaxCalifPos[#Headers],0))*IFERROR(SEARCH("*FISCAL*",CG16,1)*(1-(CG17/CG9)),1)*(AVERAGEIF($C$22:$C$69,"*EFICACIA*",CG22:CG69)),"")</f>
        <v/>
      </c>
      <c r="CH72" s="174" t="str">
        <f>IFERROR(INDEX(TablaMaxCalifPos[],MATCH(CH16,HALLAZGOS,0),MATCH($B$8,TablaMaxCalifPos[#Headers],0))*IFERROR(SEARCH("*FISCAL*",CH16,1)*(1-(CH17/CH9)),1)*(AVERAGEIF($C$22:$C$69,"*EFICACIA*",CH22:CH69)),"")</f>
        <v/>
      </c>
      <c r="CI72" s="174" t="str">
        <f>IFERROR(INDEX(TablaMaxCalifPos[],MATCH(CI16,HALLAZGOS,0),MATCH($B$8,TablaMaxCalifPos[#Headers],0))*IFERROR(SEARCH("*FISCAL*",CI16,1)*(1-(CI17/CI9)),1)*(AVERAGEIF($C$22:$C$69,"*EFICACIA*",CI22:CI69)),"")</f>
        <v/>
      </c>
      <c r="CJ72" s="174" t="str">
        <f>IFERROR(INDEX(TablaMaxCalifPos[],MATCH(CJ16,HALLAZGOS,0),MATCH($B$8,TablaMaxCalifPos[#Headers],0))*IFERROR(SEARCH("*FISCAL*",CJ16,1)*(1-(CJ17/CJ9)),1)*(AVERAGEIF($C$22:$C$69,"*EFICACIA*",CJ22:CJ69)),"")</f>
        <v/>
      </c>
      <c r="CK72" s="174" t="str">
        <f>IFERROR(INDEX(TablaMaxCalifPos[],MATCH(CK16,HALLAZGOS,0),MATCH($B$8,TablaMaxCalifPos[#Headers],0))*IFERROR(SEARCH("*FISCAL*",CK16,1)*(1-(CK17/CK9)),1)*(AVERAGEIF($C$22:$C$69,"*EFICACIA*",CK22:CK69)),"")</f>
        <v/>
      </c>
      <c r="CL72" s="174" t="str">
        <f>IFERROR(INDEX(TablaMaxCalifPos[],MATCH(CL16,HALLAZGOS,0),MATCH($B$8,TablaMaxCalifPos[#Headers],0))*IFERROR(SEARCH("*FISCAL*",CL16,1)*(1-(CL17/CL9)),1)*(AVERAGEIF($C$22:$C$69,"*EFICACIA*",CL22:CL69)),"")</f>
        <v/>
      </c>
      <c r="CM72" s="174" t="str">
        <f>IFERROR(INDEX(TablaMaxCalifPos[],MATCH(CM16,HALLAZGOS,0),MATCH($B$8,TablaMaxCalifPos[#Headers],0))*IFERROR(SEARCH("*FISCAL*",CM16,1)*(1-(CM17/CM9)),1)*(AVERAGEIF($C$22:$C$69,"*EFICACIA*",CM22:CM69)),"")</f>
        <v/>
      </c>
      <c r="CN72" s="174" t="str">
        <f>IFERROR(INDEX(TablaMaxCalifPos[],MATCH(CN16,HALLAZGOS,0),MATCH($B$8,TablaMaxCalifPos[#Headers],0))*IFERROR(SEARCH("*FISCAL*",CN16,1)*(1-(CN17/CN9)),1)*(AVERAGEIF($C$22:$C$69,"*EFICACIA*",CN22:CN69)),"")</f>
        <v/>
      </c>
      <c r="CO72" s="174" t="str">
        <f>IFERROR(INDEX(TablaMaxCalifPos[],MATCH(CO16,HALLAZGOS,0),MATCH($B$8,TablaMaxCalifPos[#Headers],0))*IFERROR(SEARCH("*FISCAL*",CO16,1)*(1-(CO17/CO9)),1)*(AVERAGEIF($C$22:$C$69,"*EFICACIA*",CO22:CO69)),"")</f>
        <v/>
      </c>
      <c r="CP72" s="174" t="str">
        <f>IFERROR(INDEX(TablaMaxCalifPos[],MATCH(CP16,HALLAZGOS,0),MATCH($B$8,TablaMaxCalifPos[#Headers],0))*IFERROR(SEARCH("*FISCAL*",CP16,1)*(1-(CP17/CP9)),1)*(AVERAGEIF($C$22:$C$69,"*EFICACIA*",CP22:CP69)),"")</f>
        <v/>
      </c>
      <c r="CQ72" s="174" t="str">
        <f>IFERROR(INDEX(TablaMaxCalifPos[],MATCH(CQ16,HALLAZGOS,0),MATCH($B$8,TablaMaxCalifPos[#Headers],0))*IFERROR(SEARCH("*FISCAL*",CQ16,1)*(1-(CQ17/CQ9)),1)*(AVERAGEIF($C$22:$C$69,"*EFICACIA*",CQ22:CQ69)),"")</f>
        <v/>
      </c>
      <c r="CR72" s="174" t="str">
        <f>IFERROR(INDEX(TablaMaxCalifPos[],MATCH(CR16,HALLAZGOS,0),MATCH($B$8,TablaMaxCalifPos[#Headers],0))*IFERROR(SEARCH("*FISCAL*",CR16,1)*(1-(CR17/CR9)),1)*(AVERAGEIF($C$22:$C$69,"*EFICACIA*",CR22:CR69)),"")</f>
        <v/>
      </c>
      <c r="CS72" s="174" t="str">
        <f>IFERROR(INDEX(TablaMaxCalifPos[],MATCH(CS16,HALLAZGOS,0),MATCH($B$8,TablaMaxCalifPos[#Headers],0))*IFERROR(SEARCH("*FISCAL*",CS16,1)*(1-(CS17/CS9)),1)*(AVERAGEIF($C$22:$C$69,"*EFICACIA*",CS22:CS69)),"")</f>
        <v/>
      </c>
      <c r="CT72" s="174" t="str">
        <f>IFERROR(INDEX(TablaMaxCalifPos[],MATCH(CT16,HALLAZGOS,0),MATCH($B$8,TablaMaxCalifPos[#Headers],0))*IFERROR(SEARCH("*FISCAL*",CT16,1)*(1-(CT17/CT9)),1)*(AVERAGEIF($C$22:$C$69,"*EFICACIA*",CT22:CT69)),"")</f>
        <v/>
      </c>
      <c r="CU72" s="174" t="str">
        <f>IFERROR(INDEX(TablaMaxCalifPos[],MATCH(CU16,HALLAZGOS,0),MATCH($B$8,TablaMaxCalifPos[#Headers],0))*IFERROR(SEARCH("*FISCAL*",CU16,1)*(1-(CU17/CU9)),1)*(AVERAGEIF($C$22:$C$69,"*EFICACIA*",CU22:CU69)),"")</f>
        <v/>
      </c>
      <c r="CV72" s="174" t="str">
        <f>IFERROR(INDEX(TablaMaxCalifPos[],MATCH(CV16,HALLAZGOS,0),MATCH($B$8,TablaMaxCalifPos[#Headers],0))*IFERROR(SEARCH("*FISCAL*",CV16,1)*(1-(CV17/CV9)),1)*(AVERAGEIF($C$22:$C$69,"*EFICACIA*",CV22:CV69)),"")</f>
        <v/>
      </c>
      <c r="CW72" s="174" t="str">
        <f>IFERROR(INDEX(TablaMaxCalifPos[],MATCH(CW16,HALLAZGOS,0),MATCH($B$8,TablaMaxCalifPos[#Headers],0))*IFERROR(SEARCH("*FISCAL*",CW16,1)*(1-(CW17/CW9)),1)*(AVERAGEIF($C$22:$C$69,"*EFICACIA*",CW22:CW69)),"")</f>
        <v/>
      </c>
      <c r="CX72" s="174" t="str">
        <f>IFERROR(INDEX(TablaMaxCalifPos[],MATCH(CX16,HALLAZGOS,0),MATCH($B$8,TablaMaxCalifPos[#Headers],0))*IFERROR(SEARCH("*FISCAL*",CX16,1)*(1-(CX17/CX9)),1)*(AVERAGEIF($C$22:$C$69,"*EFICACIA*",CX22:CX69)),"")</f>
        <v/>
      </c>
      <c r="CY72" s="174" t="str">
        <f>IFERROR(INDEX(TablaMaxCalifPos[],MATCH(CY16,HALLAZGOS,0),MATCH($B$8,TablaMaxCalifPos[#Headers],0))*IFERROR(SEARCH("*FISCAL*",CY16,1)*(1-(CY17/CY9)),1)*(AVERAGEIF($C$22:$C$69,"*EFICACIA*",CY22:CY69)),"")</f>
        <v/>
      </c>
    </row>
    <row r="73" spans="1:105" s="175" customFormat="1" ht="18" x14ac:dyDescent="0.25">
      <c r="C73" s="1313"/>
      <c r="D73" s="173" t="s">
        <v>271</v>
      </c>
      <c r="E73" s="174">
        <f>IFERROR(INDEX(TablaMaxCalifPos[],MATCH(E16,HALLAZGOS,0),MATCH($B$8,TablaMaxCalifPos[#Headers],0))*IFERROR(SEARCH("*FISCAL*",E16,1)*(1-(E17/E9)),1)*(AVERAGEIF($C$22:$C$69,"*ECONOMÍA*",E22:E69)),"")</f>
        <v>4.6666666666666655E-2</v>
      </c>
      <c r="F73" s="174">
        <f>IFERROR(INDEX(TablaMaxCalifPos[],MATCH(F16,HALLAZGOS,0),MATCH($B$8,TablaMaxCalifPos[#Headers],0))*IFERROR(SEARCH("*FISCAL*",F16,1)*(1-(F17/F9)),1)*(AVERAGEIF($C$22:$C$69,"*ECONOMÍA*",F22:F69)),"")</f>
        <v>6.3874999999999987E-2</v>
      </c>
      <c r="G73" s="174">
        <f>IFERROR(INDEX(TablaMaxCalifPos[],MATCH(G16,HALLAZGOS,0),MATCH($B$8,TablaMaxCalifPos[#Headers],0))*IFERROR(SEARCH("*FISCAL*",G16,1)*(1-(G17/G9)),1)*(AVERAGEIF($C$22:$C$69,"*ECONOMÍA*",G22:G69)),"")</f>
        <v>0.70666666666666667</v>
      </c>
      <c r="H73" s="174">
        <f>IFERROR(INDEX(TablaMaxCalifPos[],MATCH(H16,HALLAZGOS,0),MATCH($B$8,TablaMaxCalifPos[#Headers],0))*IFERROR(SEARCH("*FISCAL*",H16,1)*(1-(H17/H9)),1)*(AVERAGEIF($C$22:$C$69,"*ECONOMÍA*",H22:H69)),"")</f>
        <v>0.32574418604651162</v>
      </c>
      <c r="I73" s="174">
        <f>IFERROR(INDEX(TablaMaxCalifPos[],MATCH(I16,HALLAZGOS,0),MATCH($B$8,TablaMaxCalifPos[#Headers],0))*IFERROR(SEARCH("*FISCAL*",I16,1)*(1-(I17/I9)),1)*(AVERAGEIF($C$22:$C$69,"*ECONOMÍA*",I22:I69)),"")</f>
        <v>0.98749999999999993</v>
      </c>
      <c r="J73" s="174">
        <f>IFERROR(INDEX(TablaMaxCalifPos[],MATCH(J16,HALLAZGOS,0),MATCH($B$8,TablaMaxCalifPos[#Headers],0))*IFERROR(SEARCH("*FISCAL*",J16,1)*(1-(J17/J9)),1)*(AVERAGEIF($C$22:$C$69,"*ECONOMÍA*",J22:J69)),"")</f>
        <v>0.97083333333333333</v>
      </c>
      <c r="K73" s="174">
        <f>IFERROR(INDEX(TablaMaxCalifPos[],MATCH(K16,HALLAZGOS,0),MATCH($B$8,TablaMaxCalifPos[#Headers],0))*IFERROR(SEARCH("*FISCAL*",K16,1)*(1-(K17/K9)),1)*(AVERAGEIF($C$22:$C$69,"*ECONOMÍA*",K22:K69)),"")</f>
        <v>0.97083333333333333</v>
      </c>
      <c r="L73" s="174" t="str">
        <f>IFERROR(INDEX(TablaMaxCalifPos[],MATCH(L16,HALLAZGOS,0),MATCH($B$8,TablaMaxCalifPos[#Headers],0))*IFERROR(SEARCH("*FISCAL*",L16,1)*(1-(L17/L9)),1)*(AVERAGEIF($C$22:$C$69,"*ECONOMÍA*",L22:L69)),"")</f>
        <v/>
      </c>
      <c r="M73" s="174" t="str">
        <f>IFERROR(INDEX(TablaMaxCalifPos[],MATCH(M16,HALLAZGOS,0),MATCH($B$8,TablaMaxCalifPos[#Headers],0))*IFERROR(SEARCH("*FISCAL*",M16,1)*(1-(M17/M9)),1)*(AVERAGEIF($C$22:$C$69,"*ECONOMÍA*",M22:M69)),"")</f>
        <v/>
      </c>
      <c r="N73" s="174" t="str">
        <f>IFERROR(INDEX(TablaMaxCalifPos[],MATCH(N16,HALLAZGOS,0),MATCH($B$8,TablaMaxCalifPos[#Headers],0))*IFERROR(SEARCH("*FISCAL*",N16,1)*(1-(N17/N9)),1)*(AVERAGEIF($C$22:$C$69,"*ECONOMÍA*",N22:N69)),"")</f>
        <v/>
      </c>
      <c r="O73" s="174" t="str">
        <f>IFERROR(INDEX(TablaMaxCalifPos[],MATCH(O16,HALLAZGOS,0),MATCH($B$8,TablaMaxCalifPos[#Headers],0))*IFERROR(SEARCH("*FISCAL*",O16,1)*(1-(O17/O9)),1)*(AVERAGEIF($C$22:$C$69,"*ECONOMÍA*",O22:O69)),"")</f>
        <v/>
      </c>
      <c r="P73" s="174" t="str">
        <f>IFERROR(INDEX(TablaMaxCalifPos[],MATCH(P16,HALLAZGOS,0),MATCH($B$8,TablaMaxCalifPos[#Headers],0))*IFERROR(SEARCH("*FISCAL*",P16,1)*(1-(P17/P9)),1)*(AVERAGEIF($C$22:$C$69,"*ECONOMÍA*",P22:P69)),"")</f>
        <v/>
      </c>
      <c r="Q73" s="174" t="str">
        <f>IFERROR(INDEX(TablaMaxCalifPos[],MATCH(Q16,HALLAZGOS,0),MATCH($B$8,TablaMaxCalifPos[#Headers],0))*IFERROR(SEARCH("*FISCAL*",Q16,1)*(1-(Q17/Q9)),1)*(AVERAGEIF($C$22:$C$69,"*ECONOMÍA*",Q22:Q69)),"")</f>
        <v/>
      </c>
      <c r="R73" s="174" t="str">
        <f>IFERROR(INDEX(TablaMaxCalifPos[],MATCH(R16,HALLAZGOS,0),MATCH($B$8,TablaMaxCalifPos[#Headers],0))*IFERROR(SEARCH("*FISCAL*",R16,1)*(1-(R17/R9)),1)*(AVERAGEIF($C$22:$C$69,"*ECONOMÍA*",R22:R69)),"")</f>
        <v/>
      </c>
      <c r="S73" s="174" t="str">
        <f>IFERROR(INDEX(TablaMaxCalifPos[],MATCH(S16,HALLAZGOS,0),MATCH($B$8,TablaMaxCalifPos[#Headers],0))*IFERROR(SEARCH("*FISCAL*",S16,1)*(1-(S17/S9)),1)*(AVERAGEIF($C$22:$C$69,"*ECONOMÍA*",S22:S69)),"")</f>
        <v/>
      </c>
      <c r="T73" s="174" t="str">
        <f>IFERROR(INDEX(TablaMaxCalifPos[],MATCH(T16,HALLAZGOS,0),MATCH($B$8,TablaMaxCalifPos[#Headers],0))*IFERROR(SEARCH("*FISCAL*",T16,1)*(1-(T17/T9)),1)*(AVERAGEIF($C$22:$C$69,"*ECONOMÍA*",T22:T69)),"")</f>
        <v/>
      </c>
      <c r="U73" s="174" t="str">
        <f>IFERROR(INDEX(TablaMaxCalifPos[],MATCH(U16,HALLAZGOS,0),MATCH($B$8,TablaMaxCalifPos[#Headers],0))*IFERROR(SEARCH("*FISCAL*",U16,1)*(1-(U17/U9)),1)*(AVERAGEIF($C$22:$C$69,"*ECONOMÍA*",U22:U69)),"")</f>
        <v/>
      </c>
      <c r="V73" s="174" t="str">
        <f>IFERROR(INDEX(TablaMaxCalifPos[],MATCH(V16,HALLAZGOS,0),MATCH($B$8,TablaMaxCalifPos[#Headers],0))*IFERROR(SEARCH("*FISCAL*",V16,1)*(1-(V17/V9)),1)*(AVERAGEIF($C$22:$C$69,"*ECONOMÍA*",V22:V69)),"")</f>
        <v/>
      </c>
      <c r="W73" s="174" t="str">
        <f>IFERROR(INDEX(TablaMaxCalifPos[],MATCH(W16,HALLAZGOS,0),MATCH($B$8,TablaMaxCalifPos[#Headers],0))*IFERROR(SEARCH("*FISCAL*",W16,1)*(1-(W17/W9)),1)*(AVERAGEIF($C$22:$C$69,"*ECONOMÍA*",W22:W69)),"")</f>
        <v/>
      </c>
      <c r="X73" s="174" t="str">
        <f>IFERROR(INDEX(TablaMaxCalifPos[],MATCH(X16,HALLAZGOS,0),MATCH($B$8,TablaMaxCalifPos[#Headers],0))*IFERROR(SEARCH("*FISCAL*",X16,1)*(1-(X17/X9)),1)*(AVERAGEIF($C$22:$C$69,"*ECONOMÍA*",X22:X69)),"")</f>
        <v/>
      </c>
      <c r="Y73" s="174" t="str">
        <f>IFERROR(INDEX(TablaMaxCalifPos[],MATCH(Y16,HALLAZGOS,0),MATCH($B$8,TablaMaxCalifPos[#Headers],0))*IFERROR(SEARCH("*FISCAL*",Y16,1)*(1-(Y17/Y9)),1)*(AVERAGEIF($C$22:$C$69,"*ECONOMÍA*",Y22:Y69)),"")</f>
        <v/>
      </c>
      <c r="Z73" s="174" t="str">
        <f>IFERROR(INDEX(TablaMaxCalifPos[],MATCH(Z16,HALLAZGOS,0),MATCH($B$8,TablaMaxCalifPos[#Headers],0))*IFERROR(SEARCH("*FISCAL*",Z16,1)*(1-(Z17/Z9)),1)*(AVERAGEIF($C$22:$C$69,"*ECONOMÍA*",Z22:Z69)),"")</f>
        <v/>
      </c>
      <c r="AA73" s="174" t="str">
        <f>IFERROR(INDEX(TablaMaxCalifPos[],MATCH(AA16,HALLAZGOS,0),MATCH($B$8,TablaMaxCalifPos[#Headers],0))*IFERROR(SEARCH("*FISCAL*",AA16,1)*(1-(AA17/AA9)),1)*(AVERAGEIF($C$22:$C$69,"*ECONOMÍA*",AA22:AA69)),"")</f>
        <v/>
      </c>
      <c r="AB73" s="174" t="str">
        <f>IFERROR(INDEX(TablaMaxCalifPos[],MATCH(AB16,HALLAZGOS,0),MATCH($B$8,TablaMaxCalifPos[#Headers],0))*IFERROR(SEARCH("*FISCAL*",AB16,1)*(1-(AB17/AB9)),1)*(AVERAGEIF($C$22:$C$69,"*ECONOMÍA*",AB22:AB69)),"")</f>
        <v/>
      </c>
      <c r="AC73" s="174" t="str">
        <f>IFERROR(INDEX(TablaMaxCalifPos[],MATCH(AC16,HALLAZGOS,0),MATCH($B$8,TablaMaxCalifPos[#Headers],0))*IFERROR(SEARCH("*FISCAL*",AC16,1)*(1-(AC17/AC9)),1)*(AVERAGEIF($C$22:$C$69,"*ECONOMÍA*",AC22:AC69)),"")</f>
        <v/>
      </c>
      <c r="AD73" s="174" t="str">
        <f>IFERROR(INDEX(TablaMaxCalifPos[],MATCH(AD16,HALLAZGOS,0),MATCH($B$8,TablaMaxCalifPos[#Headers],0))*IFERROR(SEARCH("*FISCAL*",AD16,1)*(1-(AD17/AD9)),1)*(AVERAGEIF($C$22:$C$69,"*ECONOMÍA*",AD22:AD69)),"")</f>
        <v/>
      </c>
      <c r="AE73" s="174" t="str">
        <f>IFERROR(INDEX(TablaMaxCalifPos[],MATCH(AE16,HALLAZGOS,0),MATCH($B$8,TablaMaxCalifPos[#Headers],0))*IFERROR(SEARCH("*FISCAL*",AE16,1)*(1-(AE17/AE9)),1)*(AVERAGEIF($C$22:$C$69,"*ECONOMÍA*",AE22:AE69)),"")</f>
        <v/>
      </c>
      <c r="AF73" s="174" t="str">
        <f>IFERROR(INDEX(TablaMaxCalifPos[],MATCH(AF16,HALLAZGOS,0),MATCH($B$8,TablaMaxCalifPos[#Headers],0))*IFERROR(SEARCH("*FISCAL*",AF16,1)*(1-(AF17/AF9)),1)*(AVERAGEIF($C$22:$C$69,"*ECONOMÍA*",AF22:AF69)),"")</f>
        <v/>
      </c>
      <c r="AG73" s="174" t="str">
        <f>IFERROR(INDEX(TablaMaxCalifPos[],MATCH(AG16,HALLAZGOS,0),MATCH($B$8,TablaMaxCalifPos[#Headers],0))*IFERROR(SEARCH("*FISCAL*",AG16,1)*(1-(AG17/AG9)),1)*(AVERAGEIF($C$22:$C$69,"*ECONOMÍA*",AG22:AG69)),"")</f>
        <v/>
      </c>
      <c r="AH73" s="174" t="str">
        <f>IFERROR(INDEX(TablaMaxCalifPos[],MATCH(AH16,HALLAZGOS,0),MATCH($B$8,TablaMaxCalifPos[#Headers],0))*IFERROR(SEARCH("*FISCAL*",AH16,1)*(1-(AH17/AH9)),1)*(AVERAGEIF($C$22:$C$69,"*ECONOMÍA*",AH22:AH69)),"")</f>
        <v/>
      </c>
      <c r="AI73" s="174" t="str">
        <f>IFERROR(INDEX(TablaMaxCalifPos[],MATCH(AI16,HALLAZGOS,0),MATCH($B$8,TablaMaxCalifPos[#Headers],0))*IFERROR(SEARCH("*FISCAL*",AI16,1)*(1-(AI17/AI9)),1)*(AVERAGEIF($C$22:$C$69,"*ECONOMÍA*",AI22:AI69)),"")</f>
        <v/>
      </c>
      <c r="AJ73" s="174" t="str">
        <f>IFERROR(INDEX(TablaMaxCalifPos[],MATCH(AJ16,HALLAZGOS,0),MATCH($B$8,TablaMaxCalifPos[#Headers],0))*IFERROR(SEARCH("*FISCAL*",AJ16,1)*(1-(AJ17/AJ9)),1)*(AVERAGEIF($C$22:$C$69,"*ECONOMÍA*",AJ22:AJ69)),"")</f>
        <v/>
      </c>
      <c r="AK73" s="174" t="str">
        <f>IFERROR(INDEX(TablaMaxCalifPos[],MATCH(AK16,HALLAZGOS,0),MATCH($B$8,TablaMaxCalifPos[#Headers],0))*IFERROR(SEARCH("*FISCAL*",AK16,1)*(1-(AK17/AK9)),1)*(AVERAGEIF($C$22:$C$69,"*ECONOMÍA*",AK22:AK69)),"")</f>
        <v/>
      </c>
      <c r="AL73" s="174" t="str">
        <f>IFERROR(INDEX(TablaMaxCalifPos[],MATCH(AL16,HALLAZGOS,0),MATCH($B$8,TablaMaxCalifPos[#Headers],0))*IFERROR(SEARCH("*FISCAL*",AL16,1)*(1-(AL17/AL9)),1)*(AVERAGEIF($C$22:$C$69,"*ECONOMÍA*",AL22:AL69)),"")</f>
        <v/>
      </c>
      <c r="AM73" s="174" t="str">
        <f>IFERROR(INDEX(TablaMaxCalifPos[],MATCH(AM16,HALLAZGOS,0),MATCH($B$8,TablaMaxCalifPos[#Headers],0))*IFERROR(SEARCH("*FISCAL*",AM16,1)*(1-(AM17/AM9)),1)*(AVERAGEIF($C$22:$C$69,"*ECONOMÍA*",AM22:AM69)),"")</f>
        <v/>
      </c>
      <c r="AN73" s="174" t="str">
        <f>IFERROR(INDEX(TablaMaxCalifPos[],MATCH(AN16,HALLAZGOS,0),MATCH($B$8,TablaMaxCalifPos[#Headers],0))*IFERROR(SEARCH("*FISCAL*",AN16,1)*(1-(AN17/AN9)),1)*(AVERAGEIF($C$22:$C$69,"*ECONOMÍA*",AN22:AN69)),"")</f>
        <v/>
      </c>
      <c r="AO73" s="174" t="str">
        <f>IFERROR(INDEX(TablaMaxCalifPos[],MATCH(AO16,HALLAZGOS,0),MATCH($B$8,TablaMaxCalifPos[#Headers],0))*IFERROR(SEARCH("*FISCAL*",AO16,1)*(1-(AO17/AO9)),1)*(AVERAGEIF($C$22:$C$69,"*ECONOMÍA*",AO22:AO69)),"")</f>
        <v/>
      </c>
      <c r="AP73" s="174" t="str">
        <f>IFERROR(INDEX(TablaMaxCalifPos[],MATCH(AP16,HALLAZGOS,0),MATCH($B$8,TablaMaxCalifPos[#Headers],0))*IFERROR(SEARCH("*FISCAL*",AP16,1)*(1-(AP17/AP9)),1)*(AVERAGEIF($C$22:$C$69,"*ECONOMÍA*",AP22:AP69)),"")</f>
        <v/>
      </c>
      <c r="AQ73" s="174" t="str">
        <f>IFERROR(INDEX(TablaMaxCalifPos[],MATCH(AQ16,HALLAZGOS,0),MATCH($B$8,TablaMaxCalifPos[#Headers],0))*IFERROR(SEARCH("*FISCAL*",AQ16,1)*(1-(AQ17/AQ9)),1)*(AVERAGEIF($C$22:$C$69,"*ECONOMÍA*",AQ22:AQ69)),"")</f>
        <v/>
      </c>
      <c r="AR73" s="174" t="str">
        <f>IFERROR(INDEX(TablaMaxCalifPos[],MATCH(AR16,HALLAZGOS,0),MATCH($B$8,TablaMaxCalifPos[#Headers],0))*IFERROR(SEARCH("*FISCAL*",AR16,1)*(1-(AR17/AR9)),1)*(AVERAGEIF($C$22:$C$69,"*ECONOMÍA*",AR22:AR69)),"")</f>
        <v/>
      </c>
      <c r="AS73" s="174" t="str">
        <f>IFERROR(INDEX(TablaMaxCalifPos[],MATCH(AS16,HALLAZGOS,0),MATCH($B$8,TablaMaxCalifPos[#Headers],0))*IFERROR(SEARCH("*FISCAL*",AS16,1)*(1-(AS17/AS9)),1)*(AVERAGEIF($C$22:$C$69,"*ECONOMÍA*",AS22:AS69)),"")</f>
        <v/>
      </c>
      <c r="AT73" s="174" t="str">
        <f>IFERROR(INDEX(TablaMaxCalifPos[],MATCH(AT16,HALLAZGOS,0),MATCH($B$8,TablaMaxCalifPos[#Headers],0))*IFERROR(SEARCH("*FISCAL*",AT16,1)*(1-(AT17/AT9)),1)*(AVERAGEIF($C$22:$C$69,"*ECONOMÍA*",AT22:AT69)),"")</f>
        <v/>
      </c>
      <c r="AU73" s="174" t="str">
        <f>IFERROR(INDEX(TablaMaxCalifPos[],MATCH(AU16,HALLAZGOS,0),MATCH($B$8,TablaMaxCalifPos[#Headers],0))*IFERROR(SEARCH("*FISCAL*",AU16,1)*(1-(AU17/AU9)),1)*(AVERAGEIF($C$22:$C$69,"*ECONOMÍA*",AU22:AU69)),"")</f>
        <v/>
      </c>
      <c r="AV73" s="174" t="str">
        <f>IFERROR(INDEX(TablaMaxCalifPos[],MATCH(AV16,HALLAZGOS,0),MATCH($B$8,TablaMaxCalifPos[#Headers],0))*IFERROR(SEARCH("*FISCAL*",AV16,1)*(1-(AV17/AV9)),1)*(AVERAGEIF($C$22:$C$69,"*ECONOMÍA*",AV22:AV69)),"")</f>
        <v/>
      </c>
      <c r="AW73" s="174" t="str">
        <f>IFERROR(INDEX(TablaMaxCalifPos[],MATCH(AW16,HALLAZGOS,0),MATCH($B$8,TablaMaxCalifPos[#Headers],0))*IFERROR(SEARCH("*FISCAL*",AW16,1)*(1-(AW17/AW9)),1)*(AVERAGEIF($C$22:$C$69,"*ECONOMÍA*",AW22:AW69)),"")</f>
        <v/>
      </c>
      <c r="AX73" s="174" t="str">
        <f>IFERROR(INDEX(TablaMaxCalifPos[],MATCH(AX16,HALLAZGOS,0),MATCH($B$8,TablaMaxCalifPos[#Headers],0))*IFERROR(SEARCH("*FISCAL*",AX16,1)*(1-(AX17/AX9)),1)*(AVERAGEIF($C$22:$C$69,"*ECONOMÍA*",AX22:AX69)),"")</f>
        <v/>
      </c>
      <c r="AY73" s="174" t="str">
        <f>IFERROR(INDEX(TablaMaxCalifPos[],MATCH(AY16,HALLAZGOS,0),MATCH($B$8,TablaMaxCalifPos[#Headers],0))*IFERROR(SEARCH("*FISCAL*",AY16,1)*(1-(AY17/AY9)),1)*(AVERAGEIF($C$22:$C$69,"*ECONOMÍA*",AY22:AY69)),"")</f>
        <v/>
      </c>
      <c r="AZ73" s="174" t="str">
        <f>IFERROR(INDEX(TablaMaxCalifPos[],MATCH(AZ16,HALLAZGOS,0),MATCH($B$8,TablaMaxCalifPos[#Headers],0))*IFERROR(SEARCH("*FISCAL*",AZ16,1)*(1-(AZ17/AZ9)),1)*(AVERAGEIF($C$22:$C$69,"*ECONOMÍA*",AZ22:AZ69)),"")</f>
        <v/>
      </c>
      <c r="BA73" s="174" t="str">
        <f>IFERROR(INDEX(TablaMaxCalifPos[],MATCH(BA16,HALLAZGOS,0),MATCH($B$8,TablaMaxCalifPos[#Headers],0))*IFERROR(SEARCH("*FISCAL*",BA16,1)*(1-(BA17/BA9)),1)*(AVERAGEIF($C$22:$C$69,"*ECONOMÍA*",BA22:BA69)),"")</f>
        <v/>
      </c>
      <c r="BB73" s="174" t="str">
        <f>IFERROR(INDEX(TablaMaxCalifPos[],MATCH(BB16,HALLAZGOS,0),MATCH($B$8,TablaMaxCalifPos[#Headers],0))*IFERROR(SEARCH("*FISCAL*",BB16,1)*(1-(BB17/BB9)),1)*(AVERAGEIF($C$22:$C$69,"*ECONOMÍA*",BB22:BB69)),"")</f>
        <v/>
      </c>
      <c r="BC73" s="174" t="str">
        <f>IFERROR(INDEX(TablaMaxCalifPos[],MATCH(BC16,HALLAZGOS,0),MATCH($B$8,TablaMaxCalifPos[#Headers],0))*IFERROR(SEARCH("*FISCAL*",BC16,1)*(1-(BC17/BC9)),1)*(AVERAGEIF($C$22:$C$69,"*ECONOMÍA*",BC22:BC69)),"")</f>
        <v/>
      </c>
      <c r="BD73" s="174" t="str">
        <f>IFERROR(INDEX(TablaMaxCalifPos[],MATCH(BD16,HALLAZGOS,0),MATCH($B$8,TablaMaxCalifPos[#Headers],0))*IFERROR(SEARCH("*FISCAL*",BD16,1)*(1-(BD17/BD9)),1)*(AVERAGEIF($C$22:$C$69,"*ECONOMÍA*",BD22:BD69)),"")</f>
        <v/>
      </c>
      <c r="BE73" s="174" t="str">
        <f>IFERROR(INDEX(TablaMaxCalifPos[],MATCH(BE16,HALLAZGOS,0),MATCH($B$8,TablaMaxCalifPos[#Headers],0))*IFERROR(SEARCH("*FISCAL*",BE16,1)*(1-(BE17/BE9)),1)*(AVERAGEIF($C$22:$C$69,"*ECONOMÍA*",BE22:BE69)),"")</f>
        <v/>
      </c>
      <c r="BF73" s="174" t="str">
        <f>IFERROR(INDEX(TablaMaxCalifPos[],MATCH(BF16,HALLAZGOS,0),MATCH($B$8,TablaMaxCalifPos[#Headers],0))*IFERROR(SEARCH("*FISCAL*",BF16,1)*(1-(BF17/BF9)),1)*(AVERAGEIF($C$22:$C$69,"*ECONOMÍA*",BF22:BF69)),"")</f>
        <v/>
      </c>
      <c r="BG73" s="174" t="str">
        <f>IFERROR(INDEX(TablaMaxCalifPos[],MATCH(BG16,HALLAZGOS,0),MATCH($B$8,TablaMaxCalifPos[#Headers],0))*IFERROR(SEARCH("*FISCAL*",BG16,1)*(1-(BG17/BG9)),1)*(AVERAGEIF($C$22:$C$69,"*ECONOMÍA*",BG22:BG69)),"")</f>
        <v/>
      </c>
      <c r="BH73" s="174" t="str">
        <f>IFERROR(INDEX(TablaMaxCalifPos[],MATCH(BH16,HALLAZGOS,0),MATCH($B$8,TablaMaxCalifPos[#Headers],0))*IFERROR(SEARCH("*FISCAL*",BH16,1)*(1-(BH17/BH9)),1)*(AVERAGEIF($C$22:$C$69,"*ECONOMÍA*",BH22:BH69)),"")</f>
        <v/>
      </c>
      <c r="BI73" s="174" t="str">
        <f>IFERROR(INDEX(TablaMaxCalifPos[],MATCH(BI16,HALLAZGOS,0),MATCH($B$8,TablaMaxCalifPos[#Headers],0))*IFERROR(SEARCH("*FISCAL*",BI16,1)*(1-(BI17/BI9)),1)*(AVERAGEIF($C$22:$C$69,"*ECONOMÍA*",BI22:BI69)),"")</f>
        <v/>
      </c>
      <c r="BJ73" s="174" t="str">
        <f>IFERROR(INDEX(TablaMaxCalifPos[],MATCH(BJ16,HALLAZGOS,0),MATCH($B$8,TablaMaxCalifPos[#Headers],0))*IFERROR(SEARCH("*FISCAL*",BJ16,1)*(1-(BJ17/BJ9)),1)*(AVERAGEIF($C$22:$C$69,"*ECONOMÍA*",BJ22:BJ69)),"")</f>
        <v/>
      </c>
      <c r="BK73" s="174" t="str">
        <f>IFERROR(INDEX(TablaMaxCalifPos[],MATCH(BK16,HALLAZGOS,0),MATCH($B$8,TablaMaxCalifPos[#Headers],0))*IFERROR(SEARCH("*FISCAL*",BK16,1)*(1-(BK17/BK9)),1)*(AVERAGEIF($C$22:$C$69,"*ECONOMÍA*",BK22:BK69)),"")</f>
        <v/>
      </c>
      <c r="BL73" s="174" t="str">
        <f>IFERROR(INDEX(TablaMaxCalifPos[],MATCH(BL16,HALLAZGOS,0),MATCH($B$8,TablaMaxCalifPos[#Headers],0))*IFERROR(SEARCH("*FISCAL*",BL16,1)*(1-(BL17/BL9)),1)*(AVERAGEIF($C$22:$C$69,"*ECONOMÍA*",BL22:BL69)),"")</f>
        <v/>
      </c>
      <c r="BM73" s="174" t="str">
        <f>IFERROR(INDEX(TablaMaxCalifPos[],MATCH(BM16,HALLAZGOS,0),MATCH($B$8,TablaMaxCalifPos[#Headers],0))*IFERROR(SEARCH("*FISCAL*",BM16,1)*(1-(BM17/BM9)),1)*(AVERAGEIF($C$22:$C$69,"*ECONOMÍA*",BM22:BM69)),"")</f>
        <v/>
      </c>
      <c r="BN73" s="174" t="str">
        <f>IFERROR(INDEX(TablaMaxCalifPos[],MATCH(BN16,HALLAZGOS,0),MATCH($B$8,TablaMaxCalifPos[#Headers],0))*IFERROR(SEARCH("*FISCAL*",BN16,1)*(1-(BN17/BN9)),1)*(AVERAGEIF($C$22:$C$69,"*ECONOMÍA*",BN22:BN69)),"")</f>
        <v/>
      </c>
      <c r="BO73" s="174" t="str">
        <f>IFERROR(INDEX(TablaMaxCalifPos[],MATCH(BO16,HALLAZGOS,0),MATCH($B$8,TablaMaxCalifPos[#Headers],0))*IFERROR(SEARCH("*FISCAL*",BO16,1)*(1-(BO17/BO9)),1)*(AVERAGEIF($C$22:$C$69,"*ECONOMÍA*",BO22:BO69)),"")</f>
        <v/>
      </c>
      <c r="BP73" s="174" t="str">
        <f>IFERROR(INDEX(TablaMaxCalifPos[],MATCH(BP16,HALLAZGOS,0),MATCH($B$8,TablaMaxCalifPos[#Headers],0))*IFERROR(SEARCH("*FISCAL*",BP16,1)*(1-(BP17/BP9)),1)*(AVERAGEIF($C$22:$C$69,"*ECONOMÍA*",BP22:BP69)),"")</f>
        <v/>
      </c>
      <c r="BQ73" s="174" t="str">
        <f>IFERROR(INDEX(TablaMaxCalifPos[],MATCH(BQ16,HALLAZGOS,0),MATCH($B$8,TablaMaxCalifPos[#Headers],0))*IFERROR(SEARCH("*FISCAL*",BQ16,1)*(1-(BQ17/BQ9)),1)*(AVERAGEIF($C$22:$C$69,"*ECONOMÍA*",BQ22:BQ69)),"")</f>
        <v/>
      </c>
      <c r="BR73" s="174" t="str">
        <f>IFERROR(INDEX(TablaMaxCalifPos[],MATCH(BR16,HALLAZGOS,0),MATCH($B$8,TablaMaxCalifPos[#Headers],0))*IFERROR(SEARCH("*FISCAL*",BR16,1)*(1-(BR17/BR9)),1)*(AVERAGEIF($C$22:$C$69,"*ECONOMÍA*",BR22:BR69)),"")</f>
        <v/>
      </c>
      <c r="BS73" s="174" t="str">
        <f>IFERROR(INDEX(TablaMaxCalifPos[],MATCH(BS16,HALLAZGOS,0),MATCH($B$8,TablaMaxCalifPos[#Headers],0))*IFERROR(SEARCH("*FISCAL*",BS16,1)*(1-(BS17/BS9)),1)*(AVERAGEIF($C$22:$C$69,"*ECONOMÍA*",BS22:BS69)),"")</f>
        <v/>
      </c>
      <c r="BT73" s="174" t="str">
        <f>IFERROR(INDEX(TablaMaxCalifPos[],MATCH(BT16,HALLAZGOS,0),MATCH($B$8,TablaMaxCalifPos[#Headers],0))*IFERROR(SEARCH("*FISCAL*",BT16,1)*(1-(BT17/BT9)),1)*(AVERAGEIF($C$22:$C$69,"*ECONOMÍA*",BT22:BT69)),"")</f>
        <v/>
      </c>
      <c r="BU73" s="174" t="str">
        <f>IFERROR(INDEX(TablaMaxCalifPos[],MATCH(BU16,HALLAZGOS,0),MATCH($B$8,TablaMaxCalifPos[#Headers],0))*IFERROR(SEARCH("*FISCAL*",BU16,1)*(1-(BU17/BU9)),1)*(AVERAGEIF($C$22:$C$69,"*ECONOMÍA*",BU22:BU69)),"")</f>
        <v/>
      </c>
      <c r="BV73" s="174" t="str">
        <f>IFERROR(INDEX(TablaMaxCalifPos[],MATCH(BV16,HALLAZGOS,0),MATCH($B$8,TablaMaxCalifPos[#Headers],0))*IFERROR(SEARCH("*FISCAL*",BV16,1)*(1-(BV17/BV9)),1)*(AVERAGEIF($C$22:$C$69,"*ECONOMÍA*",BV22:BV69)),"")</f>
        <v/>
      </c>
      <c r="BW73" s="174" t="str">
        <f>IFERROR(INDEX(TablaMaxCalifPos[],MATCH(BW16,HALLAZGOS,0),MATCH($B$8,TablaMaxCalifPos[#Headers],0))*IFERROR(SEARCH("*FISCAL*",BW16,1)*(1-(BW17/BW9)),1)*(AVERAGEIF($C$22:$C$69,"*ECONOMÍA*",BW22:BW69)),"")</f>
        <v/>
      </c>
      <c r="BX73" s="174" t="str">
        <f>IFERROR(INDEX(TablaMaxCalifPos[],MATCH(BX16,HALLAZGOS,0),MATCH($B$8,TablaMaxCalifPos[#Headers],0))*IFERROR(SEARCH("*FISCAL*",BX16,1)*(1-(BX17/BX9)),1)*(AVERAGEIF($C$22:$C$69,"*ECONOMÍA*",BX22:BX69)),"")</f>
        <v/>
      </c>
      <c r="BY73" s="174" t="str">
        <f>IFERROR(INDEX(TablaMaxCalifPos[],MATCH(BY16,HALLAZGOS,0),MATCH($B$8,TablaMaxCalifPos[#Headers],0))*IFERROR(SEARCH("*FISCAL*",BY16,1)*(1-(BY17/BY9)),1)*(AVERAGEIF($C$22:$C$69,"*ECONOMÍA*",BY22:BY69)),"")</f>
        <v/>
      </c>
      <c r="BZ73" s="174" t="str">
        <f>IFERROR(INDEX(TablaMaxCalifPos[],MATCH(BZ16,HALLAZGOS,0),MATCH($B$8,TablaMaxCalifPos[#Headers],0))*IFERROR(SEARCH("*FISCAL*",BZ16,1)*(1-(BZ17/BZ9)),1)*(AVERAGEIF($C$22:$C$69,"*ECONOMÍA*",BZ22:BZ69)),"")</f>
        <v/>
      </c>
      <c r="CA73" s="174" t="str">
        <f>IFERROR(INDEX(TablaMaxCalifPos[],MATCH(CA16,HALLAZGOS,0),MATCH($B$8,TablaMaxCalifPos[#Headers],0))*IFERROR(SEARCH("*FISCAL*",CA16,1)*(1-(CA17/CA9)),1)*(AVERAGEIF($C$22:$C$69,"*ECONOMÍA*",CA22:CA69)),"")</f>
        <v/>
      </c>
      <c r="CB73" s="174" t="str">
        <f>IFERROR(INDEX(TablaMaxCalifPos[],MATCH(CB16,HALLAZGOS,0),MATCH($B$8,TablaMaxCalifPos[#Headers],0))*IFERROR(SEARCH("*FISCAL*",CB16,1)*(1-(CB17/CB9)),1)*(AVERAGEIF($C$22:$C$69,"*ECONOMÍA*",CB22:CB69)),"")</f>
        <v/>
      </c>
      <c r="CC73" s="174" t="str">
        <f>IFERROR(INDEX(TablaMaxCalifPos[],MATCH(CC16,HALLAZGOS,0),MATCH($B$8,TablaMaxCalifPos[#Headers],0))*IFERROR(SEARCH("*FISCAL*",CC16,1)*(1-(CC17/CC9)),1)*(AVERAGEIF($C$22:$C$69,"*ECONOMÍA*",CC22:CC69)),"")</f>
        <v/>
      </c>
      <c r="CD73" s="174" t="str">
        <f>IFERROR(INDEX(TablaMaxCalifPos[],MATCH(CD16,HALLAZGOS,0),MATCH($B$8,TablaMaxCalifPos[#Headers],0))*IFERROR(SEARCH("*FISCAL*",CD16,1)*(1-(CD17/CD9)),1)*(AVERAGEIF($C$22:$C$69,"*ECONOMÍA*",CD22:CD69)),"")</f>
        <v/>
      </c>
      <c r="CE73" s="174" t="str">
        <f>IFERROR(INDEX(TablaMaxCalifPos[],MATCH(CE16,HALLAZGOS,0),MATCH($B$8,TablaMaxCalifPos[#Headers],0))*IFERROR(SEARCH("*FISCAL*",CE16,1)*(1-(CE17/CE9)),1)*(AVERAGEIF($C$22:$C$69,"*ECONOMÍA*",CE22:CE69)),"")</f>
        <v/>
      </c>
      <c r="CF73" s="174" t="str">
        <f>IFERROR(INDEX(TablaMaxCalifPos[],MATCH(CF16,HALLAZGOS,0),MATCH($B$8,TablaMaxCalifPos[#Headers],0))*IFERROR(SEARCH("*FISCAL*",CF16,1)*(1-(CF17/CF9)),1)*(AVERAGEIF($C$22:$C$69,"*ECONOMÍA*",CF22:CF69)),"")</f>
        <v/>
      </c>
      <c r="CG73" s="174" t="str">
        <f>IFERROR(INDEX(TablaMaxCalifPos[],MATCH(CG16,HALLAZGOS,0),MATCH($B$8,TablaMaxCalifPos[#Headers],0))*IFERROR(SEARCH("*FISCAL*",CG16,1)*(1-(CG17/CG9)),1)*(AVERAGEIF($C$22:$C$69,"*ECONOMÍA*",CG22:CG69)),"")</f>
        <v/>
      </c>
      <c r="CH73" s="174" t="str">
        <f>IFERROR(INDEX(TablaMaxCalifPos[],MATCH(CH16,HALLAZGOS,0),MATCH($B$8,TablaMaxCalifPos[#Headers],0))*IFERROR(SEARCH("*FISCAL*",CH16,1)*(1-(CH17/CH9)),1)*(AVERAGEIF($C$22:$C$69,"*ECONOMÍA*",CH22:CH69)),"")</f>
        <v/>
      </c>
      <c r="CI73" s="174" t="str">
        <f>IFERROR(INDEX(TablaMaxCalifPos[],MATCH(CI16,HALLAZGOS,0),MATCH($B$8,TablaMaxCalifPos[#Headers],0))*IFERROR(SEARCH("*FISCAL*",CI16,1)*(1-(CI17/CI9)),1)*(AVERAGEIF($C$22:$C$69,"*ECONOMÍA*",CI22:CI69)),"")</f>
        <v/>
      </c>
      <c r="CJ73" s="174" t="str">
        <f>IFERROR(INDEX(TablaMaxCalifPos[],MATCH(CJ16,HALLAZGOS,0),MATCH($B$8,TablaMaxCalifPos[#Headers],0))*IFERROR(SEARCH("*FISCAL*",CJ16,1)*(1-(CJ17/CJ9)),1)*(AVERAGEIF($C$22:$C$69,"*ECONOMÍA*",CJ22:CJ69)),"")</f>
        <v/>
      </c>
      <c r="CK73" s="174" t="str">
        <f>IFERROR(INDEX(TablaMaxCalifPos[],MATCH(CK16,HALLAZGOS,0),MATCH($B$8,TablaMaxCalifPos[#Headers],0))*IFERROR(SEARCH("*FISCAL*",CK16,1)*(1-(CK17/CK9)),1)*(AVERAGEIF($C$22:$C$69,"*ECONOMÍA*",CK22:CK69)),"")</f>
        <v/>
      </c>
      <c r="CL73" s="174" t="str">
        <f>IFERROR(INDEX(TablaMaxCalifPos[],MATCH(CL16,HALLAZGOS,0),MATCH($B$8,TablaMaxCalifPos[#Headers],0))*IFERROR(SEARCH("*FISCAL*",CL16,1)*(1-(CL17/CL9)),1)*(AVERAGEIF($C$22:$C$69,"*ECONOMÍA*",CL22:CL69)),"")</f>
        <v/>
      </c>
      <c r="CM73" s="174" t="str">
        <f>IFERROR(INDEX(TablaMaxCalifPos[],MATCH(CM16,HALLAZGOS,0),MATCH($B$8,TablaMaxCalifPos[#Headers],0))*IFERROR(SEARCH("*FISCAL*",CM16,1)*(1-(CM17/CM9)),1)*(AVERAGEIF($C$22:$C$69,"*ECONOMÍA*",CM22:CM69)),"")</f>
        <v/>
      </c>
      <c r="CN73" s="174" t="str">
        <f>IFERROR(INDEX(TablaMaxCalifPos[],MATCH(CN16,HALLAZGOS,0),MATCH($B$8,TablaMaxCalifPos[#Headers],0))*IFERROR(SEARCH("*FISCAL*",CN16,1)*(1-(CN17/CN9)),1)*(AVERAGEIF($C$22:$C$69,"*ECONOMÍA*",CN22:CN69)),"")</f>
        <v/>
      </c>
      <c r="CO73" s="174" t="str">
        <f>IFERROR(INDEX(TablaMaxCalifPos[],MATCH(CO16,HALLAZGOS,0),MATCH($B$8,TablaMaxCalifPos[#Headers],0))*IFERROR(SEARCH("*FISCAL*",CO16,1)*(1-(CO17/CO9)),1)*(AVERAGEIF($C$22:$C$69,"*ECONOMÍA*",CO22:CO69)),"")</f>
        <v/>
      </c>
      <c r="CP73" s="174" t="str">
        <f>IFERROR(INDEX(TablaMaxCalifPos[],MATCH(CP16,HALLAZGOS,0),MATCH($B$8,TablaMaxCalifPos[#Headers],0))*IFERROR(SEARCH("*FISCAL*",CP16,1)*(1-(CP17/CP9)),1)*(AVERAGEIF($C$22:$C$69,"*ECONOMÍA*",CP22:CP69)),"")</f>
        <v/>
      </c>
      <c r="CQ73" s="174" t="str">
        <f>IFERROR(INDEX(TablaMaxCalifPos[],MATCH(CQ16,HALLAZGOS,0),MATCH($B$8,TablaMaxCalifPos[#Headers],0))*IFERROR(SEARCH("*FISCAL*",CQ16,1)*(1-(CQ17/CQ9)),1)*(AVERAGEIF($C$22:$C$69,"*ECONOMÍA*",CQ22:CQ69)),"")</f>
        <v/>
      </c>
      <c r="CR73" s="174" t="str">
        <f>IFERROR(INDEX(TablaMaxCalifPos[],MATCH(CR16,HALLAZGOS,0),MATCH($B$8,TablaMaxCalifPos[#Headers],0))*IFERROR(SEARCH("*FISCAL*",CR16,1)*(1-(CR17/CR9)),1)*(AVERAGEIF($C$22:$C$69,"*ECONOMÍA*",CR22:CR69)),"")</f>
        <v/>
      </c>
      <c r="CS73" s="174" t="str">
        <f>IFERROR(INDEX(TablaMaxCalifPos[],MATCH(CS16,HALLAZGOS,0),MATCH($B$8,TablaMaxCalifPos[#Headers],0))*IFERROR(SEARCH("*FISCAL*",CS16,1)*(1-(CS17/CS9)),1)*(AVERAGEIF($C$22:$C$69,"*ECONOMÍA*",CS22:CS69)),"")</f>
        <v/>
      </c>
      <c r="CT73" s="174" t="str">
        <f>IFERROR(INDEX(TablaMaxCalifPos[],MATCH(CT16,HALLAZGOS,0),MATCH($B$8,TablaMaxCalifPos[#Headers],0))*IFERROR(SEARCH("*FISCAL*",CT16,1)*(1-(CT17/CT9)),1)*(AVERAGEIF($C$22:$C$69,"*ECONOMÍA*",CT22:CT69)),"")</f>
        <v/>
      </c>
      <c r="CU73" s="174" t="str">
        <f>IFERROR(INDEX(TablaMaxCalifPos[],MATCH(CU16,HALLAZGOS,0),MATCH($B$8,TablaMaxCalifPos[#Headers],0))*IFERROR(SEARCH("*FISCAL*",CU16,1)*(1-(CU17/CU9)),1)*(AVERAGEIF($C$22:$C$69,"*ECONOMÍA*",CU22:CU69)),"")</f>
        <v/>
      </c>
      <c r="CV73" s="174" t="str">
        <f>IFERROR(INDEX(TablaMaxCalifPos[],MATCH(CV16,HALLAZGOS,0),MATCH($B$8,TablaMaxCalifPos[#Headers],0))*IFERROR(SEARCH("*FISCAL*",CV16,1)*(1-(CV17/CV9)),1)*(AVERAGEIF($C$22:$C$69,"*ECONOMÍA*",CV22:CV69)),"")</f>
        <v/>
      </c>
      <c r="CW73" s="174" t="str">
        <f>IFERROR(INDEX(TablaMaxCalifPos[],MATCH(CW16,HALLAZGOS,0),MATCH($B$8,TablaMaxCalifPos[#Headers],0))*IFERROR(SEARCH("*FISCAL*",CW16,1)*(1-(CW17/CW9)),1)*(AVERAGEIF($C$22:$C$69,"*ECONOMÍA*",CW22:CW69)),"")</f>
        <v/>
      </c>
      <c r="CX73" s="174" t="str">
        <f>IFERROR(INDEX(TablaMaxCalifPos[],MATCH(CX16,HALLAZGOS,0),MATCH($B$8,TablaMaxCalifPos[#Headers],0))*IFERROR(SEARCH("*FISCAL*",CX16,1)*(1-(CX17/CX9)),1)*(AVERAGEIF($C$22:$C$69,"*ECONOMÍA*",CX22:CX69)),"")</f>
        <v/>
      </c>
      <c r="CY73" s="174" t="str">
        <f>IFERROR(INDEX(TablaMaxCalifPos[],MATCH(CY16,HALLAZGOS,0),MATCH($B$8,TablaMaxCalifPos[#Headers],0))*IFERROR(SEARCH("*FISCAL*",CY16,1)*(1-(CY17/CY9)),1)*(AVERAGEIF($C$22:$C$69,"*ECONOMÍA*",CY22:CY69)),"")</f>
        <v/>
      </c>
    </row>
    <row r="74" spans="1:105" s="175" customFormat="1" ht="18" x14ac:dyDescent="0.25">
      <c r="C74" s="1313"/>
      <c r="D74" s="173" t="s">
        <v>272</v>
      </c>
      <c r="E74" s="1021">
        <f>IFERROR(INDEX(TablaMaxCalifPos[],MATCH(E16,HALLAZGOS,0),MATCH($B$8,TablaMaxCalifPos[#Headers],0))*IFERROR(SEARCH("*FISCAL*",E16,1)*(1-(E17/E9)),1)*(AVERAGEIF($C$22:$C$69,"*EFICIENCIA*",E22:E69)),"")</f>
        <v>4.5499999999999985E-2</v>
      </c>
      <c r="F74" s="1021">
        <f>IFERROR(INDEX(TablaMaxCalifPos[],MATCH(F16,HALLAZGOS,0),MATCH($B$8,TablaMaxCalifPos[#Headers],0))*IFERROR(SEARCH("*FISCAL*",F16,1)*(1-(F17/F9)),1)*(AVERAGEIF($C$22:$C$69,"*EFICIENCIA*",F22:F69)),"")</f>
        <v>6.0899999999999982E-2</v>
      </c>
      <c r="G74" s="1021">
        <f>IFERROR(INDEX(TablaMaxCalifPos[],MATCH(G16,HALLAZGOS,0),MATCH($B$8,TablaMaxCalifPos[#Headers],0))*IFERROR(SEARCH("*FISCAL*",G16,1)*(1-(G17/G9)),1)*(AVERAGEIF($C$22:$C$69,"*EFICIENCIA*",G22:G69)),"")</f>
        <v>0.68</v>
      </c>
      <c r="H74" s="1021">
        <f>IFERROR(INDEX(TablaMaxCalifPos[],MATCH(H16,HALLAZGOS,0),MATCH($B$8,TablaMaxCalifPos[#Headers],0))*IFERROR(SEARCH("*FISCAL*",H16,1)*(1-(H17/H9)),1)*(AVERAGEIF($C$22:$C$69,"*EFICIENCIA*",H22:H69)),"")</f>
        <v>0.36505813953488375</v>
      </c>
      <c r="I74" s="1021">
        <f>IFERROR(INDEX(TablaMaxCalifPos[],MATCH(I16,HALLAZGOS,0),MATCH($B$8,TablaMaxCalifPos[#Headers],0))*IFERROR(SEARCH("*FISCAL*",I16,1)*(1-(I17/I9)),1)*(AVERAGEIF($C$22:$C$69,"*EFICIENCIA*",I22:I69)),"")</f>
        <v>0.95</v>
      </c>
      <c r="J74" s="1021">
        <f>IFERROR(INDEX(TablaMaxCalifPos[],MATCH(J16,HALLAZGOS,0),MATCH($B$8,TablaMaxCalifPos[#Headers],0))*IFERROR(SEARCH("*FISCAL*",J16,1)*(1-(J17/J9)),1)*(AVERAGEIF($C$22:$C$69,"*EFICIENCIA*",J22:J69)),"")</f>
        <v>0.95</v>
      </c>
      <c r="K74" s="1021">
        <f>IFERROR(INDEX(TablaMaxCalifPos[],MATCH(K16,HALLAZGOS,0),MATCH($B$8,TablaMaxCalifPos[#Headers],0))*IFERROR(SEARCH("*FISCAL*",K16,1)*(1-(K17/K9)),1)*(AVERAGEIF($C$22:$C$69,"*EFICIENCIA*",K22:K69)),"")</f>
        <v>0.9111111111111112</v>
      </c>
      <c r="L74" s="1021" t="str">
        <f>IFERROR(INDEX(TablaMaxCalifPos[],MATCH(L16,HALLAZGOS,0),MATCH($B$8,TablaMaxCalifPos[#Headers],0))*IFERROR(SEARCH("*FISCAL*",L16,1)*(1-(L17/L9)),1)*(AVERAGEIF($C$22:$C$69,"*EFICIENCIA*",L22:L69)),"")</f>
        <v/>
      </c>
      <c r="M74" s="1021" t="str">
        <f>IFERROR(INDEX(TablaMaxCalifPos[],MATCH(M16,HALLAZGOS,0),MATCH($B$8,TablaMaxCalifPos[#Headers],0))*IFERROR(SEARCH("*FISCAL*",M16,1)*(1-(M17/M9)),1)*(AVERAGEIF($C$22:$C$69,"*EFICIENCIA*",M22:M69)),"")</f>
        <v/>
      </c>
      <c r="N74" s="1021" t="str">
        <f>IFERROR(INDEX(TablaMaxCalifPos[],MATCH(N16,HALLAZGOS,0),MATCH($B$8,TablaMaxCalifPos[#Headers],0))*IFERROR(SEARCH("*FISCAL*",N16,1)*(1-(N17/N9)),1)*(AVERAGEIF($C$22:$C$69,"*EFICIENCIA*",N22:N69)),"")</f>
        <v/>
      </c>
      <c r="O74" s="1021" t="str">
        <f>IFERROR(INDEX(TablaMaxCalifPos[],MATCH(O16,HALLAZGOS,0),MATCH($B$8,TablaMaxCalifPos[#Headers],0))*IFERROR(SEARCH("*FISCAL*",O16,1)*(1-(O17/O9)),1)*(AVERAGEIF($C$22:$C$69,"*EFICIENCIA*",O22:O69)),"")</f>
        <v/>
      </c>
      <c r="P74" s="1021" t="str">
        <f>IFERROR(INDEX(TablaMaxCalifPos[],MATCH(P16,HALLAZGOS,0),MATCH($B$8,TablaMaxCalifPos[#Headers],0))*IFERROR(SEARCH("*FISCAL*",P16,1)*(1-(P17/P9)),1)*(AVERAGEIF($C$22:$C$69,"*EFICIENCIA*",P22:P69)),"")</f>
        <v/>
      </c>
      <c r="Q74" s="1021" t="str">
        <f>IFERROR(INDEX(TablaMaxCalifPos[],MATCH(Q16,HALLAZGOS,0),MATCH($B$8,TablaMaxCalifPos[#Headers],0))*IFERROR(SEARCH("*FISCAL*",Q16,1)*(1-(Q17/Q9)),1)*(AVERAGEIF($C$22:$C$69,"*EFICIENCIA*",Q22:Q69)),"")</f>
        <v/>
      </c>
      <c r="R74" s="1021" t="str">
        <f>IFERROR(INDEX(TablaMaxCalifPos[],MATCH(R16,HALLAZGOS,0),MATCH($B$8,TablaMaxCalifPos[#Headers],0))*IFERROR(SEARCH("*FISCAL*",R16,1)*(1-(R17/R9)),1)*(AVERAGEIF($C$22:$C$69,"*EFICIENCIA*",R22:R69)),"")</f>
        <v/>
      </c>
      <c r="S74" s="1021" t="str">
        <f>IFERROR(INDEX(TablaMaxCalifPos[],MATCH(S16,HALLAZGOS,0),MATCH($B$8,TablaMaxCalifPos[#Headers],0))*IFERROR(SEARCH("*FISCAL*",S16,1)*(1-(S17/S9)),1)*(AVERAGEIF($C$22:$C$69,"*EFICIENCIA*",S22:S69)),"")</f>
        <v/>
      </c>
      <c r="T74" s="1021" t="str">
        <f>IFERROR(INDEX(TablaMaxCalifPos[],MATCH(T16,HALLAZGOS,0),MATCH($B$8,TablaMaxCalifPos[#Headers],0))*IFERROR(SEARCH("*FISCAL*",T16,1)*(1-(T17/T9)),1)*(AVERAGEIF($C$22:$C$69,"*EFICIENCIA*",T22:T69)),"")</f>
        <v/>
      </c>
      <c r="U74" s="1021" t="str">
        <f>IFERROR(INDEX(TablaMaxCalifPos[],MATCH(U16,HALLAZGOS,0),MATCH($B$8,TablaMaxCalifPos[#Headers],0))*IFERROR(SEARCH("*FISCAL*",U16,1)*(1-(U17/U9)),1)*(AVERAGEIF($C$22:$C$69,"*EFICIENCIA*",U22:U69)),"")</f>
        <v/>
      </c>
      <c r="V74" s="1021" t="str">
        <f>IFERROR(INDEX(TablaMaxCalifPos[],MATCH(V16,HALLAZGOS,0),MATCH($B$8,TablaMaxCalifPos[#Headers],0))*IFERROR(SEARCH("*FISCAL*",V16,1)*(1-(V17/V9)),1)*(AVERAGEIF($C$22:$C$69,"*EFICIENCIA*",V22:V69)),"")</f>
        <v/>
      </c>
      <c r="W74" s="1021" t="str">
        <f>IFERROR(INDEX(TablaMaxCalifPos[],MATCH(W16,HALLAZGOS,0),MATCH($B$8,TablaMaxCalifPos[#Headers],0))*IFERROR(SEARCH("*FISCAL*",W16,1)*(1-(W17/W9)),1)*(AVERAGEIF($C$22:$C$69,"*EFICIENCIA*",W22:W69)),"")</f>
        <v/>
      </c>
      <c r="X74" s="1021" t="str">
        <f>IFERROR(INDEX(TablaMaxCalifPos[],MATCH(X16,HALLAZGOS,0),MATCH($B$8,TablaMaxCalifPos[#Headers],0))*IFERROR(SEARCH("*FISCAL*",X16,1)*(1-(X17/X9)),1)*(AVERAGEIF($C$22:$C$69,"*EFICIENCIA*",X22:X69)),"")</f>
        <v/>
      </c>
      <c r="Y74" s="1021" t="str">
        <f>IFERROR(INDEX(TablaMaxCalifPos[],MATCH(Y16,HALLAZGOS,0),MATCH($B$8,TablaMaxCalifPos[#Headers],0))*IFERROR(SEARCH("*FISCAL*",Y16,1)*(1-(Y17/Y9)),1)*(AVERAGEIF($C$22:$C$69,"*EFICIENCIA*",Y22:Y69)),"")</f>
        <v/>
      </c>
      <c r="Z74" s="1021" t="str">
        <f>IFERROR(INDEX(TablaMaxCalifPos[],MATCH(Z16,HALLAZGOS,0),MATCH($B$8,TablaMaxCalifPos[#Headers],0))*IFERROR(SEARCH("*FISCAL*",Z16,1)*(1-(Z17/Z9)),1)*(AVERAGEIF($C$22:$C$69,"*EFICIENCIA*",Z22:Z69)),"")</f>
        <v/>
      </c>
      <c r="AA74" s="1021" t="str">
        <f>IFERROR(INDEX(TablaMaxCalifPos[],MATCH(AA16,HALLAZGOS,0),MATCH($B$8,TablaMaxCalifPos[#Headers],0))*IFERROR(SEARCH("*FISCAL*",AA16,1)*(1-(AA17/AA9)),1)*(AVERAGEIF($C$22:$C$69,"*EFICIENCIA*",AA22:AA69)),"")</f>
        <v/>
      </c>
      <c r="AB74" s="1021" t="str">
        <f>IFERROR(INDEX(TablaMaxCalifPos[],MATCH(AB16,HALLAZGOS,0),MATCH($B$8,TablaMaxCalifPos[#Headers],0))*IFERROR(SEARCH("*FISCAL*",AB16,1)*(1-(AB17/AB9)),1)*(AVERAGEIF($C$22:$C$69,"*EFICIENCIA*",AB22:AB69)),"")</f>
        <v/>
      </c>
      <c r="AC74" s="1021" t="str">
        <f>IFERROR(INDEX(TablaMaxCalifPos[],MATCH(AC16,HALLAZGOS,0),MATCH($B$8,TablaMaxCalifPos[#Headers],0))*IFERROR(SEARCH("*FISCAL*",AC16,1)*(1-(AC17/AC9)),1)*(AVERAGEIF($C$22:$C$69,"*EFICIENCIA*",AC22:AC69)),"")</f>
        <v/>
      </c>
      <c r="AD74" s="1021" t="str">
        <f>IFERROR(INDEX(TablaMaxCalifPos[],MATCH(AD16,HALLAZGOS,0),MATCH($B$8,TablaMaxCalifPos[#Headers],0))*IFERROR(SEARCH("*FISCAL*",AD16,1)*(1-(AD17/AD9)),1)*(AVERAGEIF($C$22:$C$69,"*EFICIENCIA*",AD22:AD69)),"")</f>
        <v/>
      </c>
      <c r="AE74" s="1021" t="str">
        <f>IFERROR(INDEX(TablaMaxCalifPos[],MATCH(AE16,HALLAZGOS,0),MATCH($B$8,TablaMaxCalifPos[#Headers],0))*IFERROR(SEARCH("*FISCAL*",AE16,1)*(1-(AE17/AE9)),1)*(AVERAGEIF($C$22:$C$69,"*EFICIENCIA*",AE22:AE69)),"")</f>
        <v/>
      </c>
      <c r="AF74" s="1021" t="str">
        <f>IFERROR(INDEX(TablaMaxCalifPos[],MATCH(AF16,HALLAZGOS,0),MATCH($B$8,TablaMaxCalifPos[#Headers],0))*IFERROR(SEARCH("*FISCAL*",AF16,1)*(1-(AF17/AF9)),1)*(AVERAGEIF($C$22:$C$69,"*EFICIENCIA*",AF22:AF69)),"")</f>
        <v/>
      </c>
      <c r="AG74" s="1021" t="str">
        <f>IFERROR(INDEX(TablaMaxCalifPos[],MATCH(AG16,HALLAZGOS,0),MATCH($B$8,TablaMaxCalifPos[#Headers],0))*IFERROR(SEARCH("*FISCAL*",AG16,1)*(1-(AG17/AG9)),1)*(AVERAGEIF($C$22:$C$69,"*EFICIENCIA*",AG22:AG69)),"")</f>
        <v/>
      </c>
      <c r="AH74" s="1021" t="str">
        <f>IFERROR(INDEX(TablaMaxCalifPos[],MATCH(AH16,HALLAZGOS,0),MATCH($B$8,TablaMaxCalifPos[#Headers],0))*IFERROR(SEARCH("*FISCAL*",AH16,1)*(1-(AH17/AH9)),1)*(AVERAGEIF($C$22:$C$69,"*EFICIENCIA*",AH22:AH69)),"")</f>
        <v/>
      </c>
      <c r="AI74" s="1021" t="str">
        <f>IFERROR(INDEX(TablaMaxCalifPos[],MATCH(AI16,HALLAZGOS,0),MATCH($B$8,TablaMaxCalifPos[#Headers],0))*IFERROR(SEARCH("*FISCAL*",AI16,1)*(1-(AI17/AI9)),1)*(AVERAGEIF($C$22:$C$69,"*EFICIENCIA*",AI22:AI69)),"")</f>
        <v/>
      </c>
      <c r="AJ74" s="1021" t="str">
        <f>IFERROR(INDEX(TablaMaxCalifPos[],MATCH(AJ16,HALLAZGOS,0),MATCH($B$8,TablaMaxCalifPos[#Headers],0))*IFERROR(SEARCH("*FISCAL*",AJ16,1)*(1-(AJ17/AJ9)),1)*(AVERAGEIF($C$22:$C$69,"*EFICIENCIA*",AJ22:AJ69)),"")</f>
        <v/>
      </c>
      <c r="AK74" s="1021" t="str">
        <f>IFERROR(INDEX(TablaMaxCalifPos[],MATCH(AK16,HALLAZGOS,0),MATCH($B$8,TablaMaxCalifPos[#Headers],0))*IFERROR(SEARCH("*FISCAL*",AK16,1)*(1-(AK17/AK9)),1)*(AVERAGEIF($C$22:$C$69,"*EFICIENCIA*",AK22:AK69)),"")</f>
        <v/>
      </c>
      <c r="AL74" s="1021" t="str">
        <f>IFERROR(INDEX(TablaMaxCalifPos[],MATCH(AL16,HALLAZGOS,0),MATCH($B$8,TablaMaxCalifPos[#Headers],0))*IFERROR(SEARCH("*FISCAL*",AL16,1)*(1-(AL17/AL9)),1)*(AVERAGEIF($C$22:$C$69,"*EFICIENCIA*",AL22:AL69)),"")</f>
        <v/>
      </c>
      <c r="AM74" s="1021" t="str">
        <f>IFERROR(INDEX(TablaMaxCalifPos[],MATCH(AM16,HALLAZGOS,0),MATCH($B$8,TablaMaxCalifPos[#Headers],0))*IFERROR(SEARCH("*FISCAL*",AM16,1)*(1-(AM17/AM9)),1)*(AVERAGEIF($C$22:$C$69,"*EFICIENCIA*",AM22:AM69)),"")</f>
        <v/>
      </c>
      <c r="AN74" s="1021" t="str">
        <f>IFERROR(INDEX(TablaMaxCalifPos[],MATCH(AN16,HALLAZGOS,0),MATCH($B$8,TablaMaxCalifPos[#Headers],0))*IFERROR(SEARCH("*FISCAL*",AN16,1)*(1-(AN17/AN9)),1)*(AVERAGEIF($C$22:$C$69,"*EFICIENCIA*",AN22:AN69)),"")</f>
        <v/>
      </c>
      <c r="AO74" s="1021" t="str">
        <f>IFERROR(INDEX(TablaMaxCalifPos[],MATCH(AO16,HALLAZGOS,0),MATCH($B$8,TablaMaxCalifPos[#Headers],0))*IFERROR(SEARCH("*FISCAL*",AO16,1)*(1-(AO17/AO9)),1)*(AVERAGEIF($C$22:$C$69,"*EFICIENCIA*",AO22:AO69)),"")</f>
        <v/>
      </c>
      <c r="AP74" s="1021" t="str">
        <f>IFERROR(INDEX(TablaMaxCalifPos[],MATCH(AP16,HALLAZGOS,0),MATCH($B$8,TablaMaxCalifPos[#Headers],0))*IFERROR(SEARCH("*FISCAL*",AP16,1)*(1-(AP17/AP9)),1)*(AVERAGEIF($C$22:$C$69,"*EFICIENCIA*",AP22:AP69)),"")</f>
        <v/>
      </c>
      <c r="AQ74" s="1021" t="str">
        <f>IFERROR(INDEX(TablaMaxCalifPos[],MATCH(AQ16,HALLAZGOS,0),MATCH($B$8,TablaMaxCalifPos[#Headers],0))*IFERROR(SEARCH("*FISCAL*",AQ16,1)*(1-(AQ17/AQ9)),1)*(AVERAGEIF($C$22:$C$69,"*EFICIENCIA*",AQ22:AQ69)),"")</f>
        <v/>
      </c>
      <c r="AR74" s="1021" t="str">
        <f>IFERROR(INDEX(TablaMaxCalifPos[],MATCH(AR16,HALLAZGOS,0),MATCH($B$8,TablaMaxCalifPos[#Headers],0))*IFERROR(SEARCH("*FISCAL*",AR16,1)*(1-(AR17/AR9)),1)*(AVERAGEIF($C$22:$C$69,"*EFICIENCIA*",AR22:AR69)),"")</f>
        <v/>
      </c>
      <c r="AS74" s="1021" t="str">
        <f>IFERROR(INDEX(TablaMaxCalifPos[],MATCH(AS16,HALLAZGOS,0),MATCH($B$8,TablaMaxCalifPos[#Headers],0))*IFERROR(SEARCH("*FISCAL*",AS16,1)*(1-(AS17/AS9)),1)*(AVERAGEIF($C$22:$C$69,"*EFICIENCIA*",AS22:AS69)),"")</f>
        <v/>
      </c>
      <c r="AT74" s="1021" t="str">
        <f>IFERROR(INDEX(TablaMaxCalifPos[],MATCH(AT16,HALLAZGOS,0),MATCH($B$8,TablaMaxCalifPos[#Headers],0))*IFERROR(SEARCH("*FISCAL*",AT16,1)*(1-(AT17/AT9)),1)*(AVERAGEIF($C$22:$C$69,"*EFICIENCIA*",AT22:AT69)),"")</f>
        <v/>
      </c>
      <c r="AU74" s="1021" t="str">
        <f>IFERROR(INDEX(TablaMaxCalifPos[],MATCH(AU16,HALLAZGOS,0),MATCH($B$8,TablaMaxCalifPos[#Headers],0))*IFERROR(SEARCH("*FISCAL*",AU16,1)*(1-(AU17/AU9)),1)*(AVERAGEIF($C$22:$C$69,"*EFICIENCIA*",AU22:AU69)),"")</f>
        <v/>
      </c>
      <c r="AV74" s="1021" t="str">
        <f>IFERROR(INDEX(TablaMaxCalifPos[],MATCH(AV16,HALLAZGOS,0),MATCH($B$8,TablaMaxCalifPos[#Headers],0))*IFERROR(SEARCH("*FISCAL*",AV16,1)*(1-(AV17/AV9)),1)*(AVERAGEIF($C$22:$C$69,"*EFICIENCIA*",AV22:AV69)),"")</f>
        <v/>
      </c>
      <c r="AW74" s="1021" t="str">
        <f>IFERROR(INDEX(TablaMaxCalifPos[],MATCH(AW16,HALLAZGOS,0),MATCH($B$8,TablaMaxCalifPos[#Headers],0))*IFERROR(SEARCH("*FISCAL*",AW16,1)*(1-(AW17/AW9)),1)*(AVERAGEIF($C$22:$C$69,"*EFICIENCIA*",AW22:AW69)),"")</f>
        <v/>
      </c>
      <c r="AX74" s="1021" t="str">
        <f>IFERROR(INDEX(TablaMaxCalifPos[],MATCH(AX16,HALLAZGOS,0),MATCH($B$8,TablaMaxCalifPos[#Headers],0))*IFERROR(SEARCH("*FISCAL*",AX16,1)*(1-(AX17/AX9)),1)*(AVERAGEIF($C$22:$C$69,"*EFICIENCIA*",AX22:AX69)),"")</f>
        <v/>
      </c>
      <c r="AY74" s="1021" t="str">
        <f>IFERROR(INDEX(TablaMaxCalifPos[],MATCH(AY16,HALLAZGOS,0),MATCH($B$8,TablaMaxCalifPos[#Headers],0))*IFERROR(SEARCH("*FISCAL*",AY16,1)*(1-(AY17/AY9)),1)*(AVERAGEIF($C$22:$C$69,"*EFICIENCIA*",AY22:AY69)),"")</f>
        <v/>
      </c>
      <c r="AZ74" s="1021" t="str">
        <f>IFERROR(INDEX(TablaMaxCalifPos[],MATCH(AZ16,HALLAZGOS,0),MATCH($B$8,TablaMaxCalifPos[#Headers],0))*IFERROR(SEARCH("*FISCAL*",AZ16,1)*(1-(AZ17/AZ9)),1)*(AVERAGEIF($C$22:$C$69,"*EFICIENCIA*",AZ22:AZ69)),"")</f>
        <v/>
      </c>
      <c r="BA74" s="1021" t="str">
        <f>IFERROR(INDEX(TablaMaxCalifPos[],MATCH(BA16,HALLAZGOS,0),MATCH($B$8,TablaMaxCalifPos[#Headers],0))*IFERROR(SEARCH("*FISCAL*",BA16,1)*(1-(BA17/BA9)),1)*(AVERAGEIF($C$22:$C$69,"*EFICIENCIA*",BA22:BA69)),"")</f>
        <v/>
      </c>
      <c r="BB74" s="1021" t="str">
        <f>IFERROR(INDEX(TablaMaxCalifPos[],MATCH(BB16,HALLAZGOS,0),MATCH($B$8,TablaMaxCalifPos[#Headers],0))*IFERROR(SEARCH("*FISCAL*",BB16,1)*(1-(BB17/BB9)),1)*(AVERAGEIF($C$22:$C$69,"*EFICIENCIA*",BB22:BB69)),"")</f>
        <v/>
      </c>
      <c r="BC74" s="1021" t="str">
        <f>IFERROR(INDEX(TablaMaxCalifPos[],MATCH(BC16,HALLAZGOS,0),MATCH($B$8,TablaMaxCalifPos[#Headers],0))*IFERROR(SEARCH("*FISCAL*",BC16,1)*(1-(BC17/BC9)),1)*(AVERAGEIF($C$22:$C$69,"*EFICIENCIA*",BC22:BC69)),"")</f>
        <v/>
      </c>
      <c r="BD74" s="1021" t="str">
        <f>IFERROR(INDEX(TablaMaxCalifPos[],MATCH(BD16,HALLAZGOS,0),MATCH($B$8,TablaMaxCalifPos[#Headers],0))*IFERROR(SEARCH("*FISCAL*",BD16,1)*(1-(BD17/BD9)),1)*(AVERAGEIF($C$22:$C$69,"*EFICIENCIA*",BD22:BD69)),"")</f>
        <v/>
      </c>
      <c r="BE74" s="1021" t="str">
        <f>IFERROR(INDEX(TablaMaxCalifPos[],MATCH(BE16,HALLAZGOS,0),MATCH($B$8,TablaMaxCalifPos[#Headers],0))*IFERROR(SEARCH("*FISCAL*",BE16,1)*(1-(BE17/BE9)),1)*(AVERAGEIF($C$22:$C$69,"*EFICIENCIA*",BE22:BE69)),"")</f>
        <v/>
      </c>
      <c r="BF74" s="1021" t="str">
        <f>IFERROR(INDEX(TablaMaxCalifPos[],MATCH(BF16,HALLAZGOS,0),MATCH($B$8,TablaMaxCalifPos[#Headers],0))*IFERROR(SEARCH("*FISCAL*",BF16,1)*(1-(BF17/BF9)),1)*(AVERAGEIF($C$22:$C$69,"*EFICIENCIA*",BF22:BF69)),"")</f>
        <v/>
      </c>
      <c r="BG74" s="1021" t="str">
        <f>IFERROR(INDEX(TablaMaxCalifPos[],MATCH(BG16,HALLAZGOS,0),MATCH($B$8,TablaMaxCalifPos[#Headers],0))*IFERROR(SEARCH("*FISCAL*",BG16,1)*(1-(BG17/BG9)),1)*(AVERAGEIF($C$22:$C$69,"*EFICIENCIA*",BG22:BG69)),"")</f>
        <v/>
      </c>
      <c r="BH74" s="1021" t="str">
        <f>IFERROR(INDEX(TablaMaxCalifPos[],MATCH(BH16,HALLAZGOS,0),MATCH($B$8,TablaMaxCalifPos[#Headers],0))*IFERROR(SEARCH("*FISCAL*",BH16,1)*(1-(BH17/BH9)),1)*(AVERAGEIF($C$22:$C$69,"*EFICIENCIA*",BH22:BH69)),"")</f>
        <v/>
      </c>
      <c r="BI74" s="1021" t="str">
        <f>IFERROR(INDEX(TablaMaxCalifPos[],MATCH(BI16,HALLAZGOS,0),MATCH($B$8,TablaMaxCalifPos[#Headers],0))*IFERROR(SEARCH("*FISCAL*",BI16,1)*(1-(BI17/BI9)),1)*(AVERAGEIF($C$22:$C$69,"*EFICIENCIA*",BI22:BI69)),"")</f>
        <v/>
      </c>
      <c r="BJ74" s="1021" t="str">
        <f>IFERROR(INDEX(TablaMaxCalifPos[],MATCH(BJ16,HALLAZGOS,0),MATCH($B$8,TablaMaxCalifPos[#Headers],0))*IFERROR(SEARCH("*FISCAL*",BJ16,1)*(1-(BJ17/BJ9)),1)*(AVERAGEIF($C$22:$C$69,"*EFICIENCIA*",BJ22:BJ69)),"")</f>
        <v/>
      </c>
      <c r="BK74" s="1021" t="str">
        <f>IFERROR(INDEX(TablaMaxCalifPos[],MATCH(BK16,HALLAZGOS,0),MATCH($B$8,TablaMaxCalifPos[#Headers],0))*IFERROR(SEARCH("*FISCAL*",BK16,1)*(1-(BK17/BK9)),1)*(AVERAGEIF($C$22:$C$69,"*EFICIENCIA*",BK22:BK69)),"")</f>
        <v/>
      </c>
      <c r="BL74" s="1021" t="str">
        <f>IFERROR(INDEX(TablaMaxCalifPos[],MATCH(BL16,HALLAZGOS,0),MATCH($B$8,TablaMaxCalifPos[#Headers],0))*IFERROR(SEARCH("*FISCAL*",BL16,1)*(1-(BL17/BL9)),1)*(AVERAGEIF($C$22:$C$69,"*EFICIENCIA*",BL22:BL69)),"")</f>
        <v/>
      </c>
      <c r="BM74" s="1021" t="str">
        <f>IFERROR(INDEX(TablaMaxCalifPos[],MATCH(BM16,HALLAZGOS,0),MATCH($B$8,TablaMaxCalifPos[#Headers],0))*IFERROR(SEARCH("*FISCAL*",BM16,1)*(1-(BM17/BM9)),1)*(AVERAGEIF($C$22:$C$69,"*EFICIENCIA*",BM22:BM69)),"")</f>
        <v/>
      </c>
      <c r="BN74" s="1021" t="str">
        <f>IFERROR(INDEX(TablaMaxCalifPos[],MATCH(BN16,HALLAZGOS,0),MATCH($B$8,TablaMaxCalifPos[#Headers],0))*IFERROR(SEARCH("*FISCAL*",BN16,1)*(1-(BN17/BN9)),1)*(AVERAGEIF($C$22:$C$69,"*EFICIENCIA*",BN22:BN69)),"")</f>
        <v/>
      </c>
      <c r="BO74" s="1021" t="str">
        <f>IFERROR(INDEX(TablaMaxCalifPos[],MATCH(BO16,HALLAZGOS,0),MATCH($B$8,TablaMaxCalifPos[#Headers],0))*IFERROR(SEARCH("*FISCAL*",BO16,1)*(1-(BO17/BO9)),1)*(AVERAGEIF($C$22:$C$69,"*EFICIENCIA*",BO22:BO69)),"")</f>
        <v/>
      </c>
      <c r="BP74" s="1021" t="str">
        <f>IFERROR(INDEX(TablaMaxCalifPos[],MATCH(BP16,HALLAZGOS,0),MATCH($B$8,TablaMaxCalifPos[#Headers],0))*IFERROR(SEARCH("*FISCAL*",BP16,1)*(1-(BP17/BP9)),1)*(AVERAGEIF($C$22:$C$69,"*EFICIENCIA*",BP22:BP69)),"")</f>
        <v/>
      </c>
      <c r="BQ74" s="1021" t="str">
        <f>IFERROR(INDEX(TablaMaxCalifPos[],MATCH(BQ16,HALLAZGOS,0),MATCH($B$8,TablaMaxCalifPos[#Headers],0))*IFERROR(SEARCH("*FISCAL*",BQ16,1)*(1-(BQ17/BQ9)),1)*(AVERAGEIF($C$22:$C$69,"*EFICIENCIA*",BQ22:BQ69)),"")</f>
        <v/>
      </c>
      <c r="BR74" s="1021" t="str">
        <f>IFERROR(INDEX(TablaMaxCalifPos[],MATCH(BR16,HALLAZGOS,0),MATCH($B$8,TablaMaxCalifPos[#Headers],0))*IFERROR(SEARCH("*FISCAL*",BR16,1)*(1-(BR17/BR9)),1)*(AVERAGEIF($C$22:$C$69,"*EFICIENCIA*",BR22:BR69)),"")</f>
        <v/>
      </c>
      <c r="BS74" s="1021" t="str">
        <f>IFERROR(INDEX(TablaMaxCalifPos[],MATCH(BS16,HALLAZGOS,0),MATCH($B$8,TablaMaxCalifPos[#Headers],0))*IFERROR(SEARCH("*FISCAL*",BS16,1)*(1-(BS17/BS9)),1)*(AVERAGEIF($C$22:$C$69,"*EFICIENCIA*",BS22:BS69)),"")</f>
        <v/>
      </c>
      <c r="BT74" s="1021" t="str">
        <f>IFERROR(INDEX(TablaMaxCalifPos[],MATCH(BT16,HALLAZGOS,0),MATCH($B$8,TablaMaxCalifPos[#Headers],0))*IFERROR(SEARCH("*FISCAL*",BT16,1)*(1-(BT17/BT9)),1)*(AVERAGEIF($C$22:$C$69,"*EFICIENCIA*",BT22:BT69)),"")</f>
        <v/>
      </c>
      <c r="BU74" s="1021" t="str">
        <f>IFERROR(INDEX(TablaMaxCalifPos[],MATCH(BU16,HALLAZGOS,0),MATCH($B$8,TablaMaxCalifPos[#Headers],0))*IFERROR(SEARCH("*FISCAL*",BU16,1)*(1-(BU17/BU9)),1)*(AVERAGEIF($C$22:$C$69,"*EFICIENCIA*",BU22:BU69)),"")</f>
        <v/>
      </c>
      <c r="BV74" s="1021" t="str">
        <f>IFERROR(INDEX(TablaMaxCalifPos[],MATCH(BV16,HALLAZGOS,0),MATCH($B$8,TablaMaxCalifPos[#Headers],0))*IFERROR(SEARCH("*FISCAL*",BV16,1)*(1-(BV17/BV9)),1)*(AVERAGEIF($C$22:$C$69,"*EFICIENCIA*",BV22:BV69)),"")</f>
        <v/>
      </c>
      <c r="BW74" s="1021" t="str">
        <f>IFERROR(INDEX(TablaMaxCalifPos[],MATCH(BW16,HALLAZGOS,0),MATCH($B$8,TablaMaxCalifPos[#Headers],0))*IFERROR(SEARCH("*FISCAL*",BW16,1)*(1-(BW17/BW9)),1)*(AVERAGEIF($C$22:$C$69,"*EFICIENCIA*",BW22:BW69)),"")</f>
        <v/>
      </c>
      <c r="BX74" s="1021" t="str">
        <f>IFERROR(INDEX(TablaMaxCalifPos[],MATCH(BX16,HALLAZGOS,0),MATCH($B$8,TablaMaxCalifPos[#Headers],0))*IFERROR(SEARCH("*FISCAL*",BX16,1)*(1-(BX17/BX9)),1)*(AVERAGEIF($C$22:$C$69,"*EFICIENCIA*",BX22:BX69)),"")</f>
        <v/>
      </c>
      <c r="BY74" s="1021" t="str">
        <f>IFERROR(INDEX(TablaMaxCalifPos[],MATCH(BY16,HALLAZGOS,0),MATCH($B$8,TablaMaxCalifPos[#Headers],0))*IFERROR(SEARCH("*FISCAL*",BY16,1)*(1-(BY17/BY9)),1)*(AVERAGEIF($C$22:$C$69,"*EFICIENCIA*",BY22:BY69)),"")</f>
        <v/>
      </c>
      <c r="BZ74" s="1021" t="str">
        <f>IFERROR(INDEX(TablaMaxCalifPos[],MATCH(BZ16,HALLAZGOS,0),MATCH($B$8,TablaMaxCalifPos[#Headers],0))*IFERROR(SEARCH("*FISCAL*",BZ16,1)*(1-(BZ17/BZ9)),1)*(AVERAGEIF($C$22:$C$69,"*EFICIENCIA*",BZ22:BZ69)),"")</f>
        <v/>
      </c>
      <c r="CA74" s="1021" t="str">
        <f>IFERROR(INDEX(TablaMaxCalifPos[],MATCH(CA16,HALLAZGOS,0),MATCH($B$8,TablaMaxCalifPos[#Headers],0))*IFERROR(SEARCH("*FISCAL*",CA16,1)*(1-(CA17/CA9)),1)*(AVERAGEIF($C$22:$C$69,"*EFICIENCIA*",CA22:CA69)),"")</f>
        <v/>
      </c>
      <c r="CB74" s="1021" t="str">
        <f>IFERROR(INDEX(TablaMaxCalifPos[],MATCH(CB16,HALLAZGOS,0),MATCH($B$8,TablaMaxCalifPos[#Headers],0))*IFERROR(SEARCH("*FISCAL*",CB16,1)*(1-(CB17/CB9)),1)*(AVERAGEIF($C$22:$C$69,"*EFICIENCIA*",CB22:CB69)),"")</f>
        <v/>
      </c>
      <c r="CC74" s="1021" t="str">
        <f>IFERROR(INDEX(TablaMaxCalifPos[],MATCH(CC16,HALLAZGOS,0),MATCH($B$8,TablaMaxCalifPos[#Headers],0))*IFERROR(SEARCH("*FISCAL*",CC16,1)*(1-(CC17/CC9)),1)*(AVERAGEIF($C$22:$C$69,"*EFICIENCIA*",CC22:CC69)),"")</f>
        <v/>
      </c>
      <c r="CD74" s="1021" t="str">
        <f>IFERROR(INDEX(TablaMaxCalifPos[],MATCH(CD16,HALLAZGOS,0),MATCH($B$8,TablaMaxCalifPos[#Headers],0))*IFERROR(SEARCH("*FISCAL*",CD16,1)*(1-(CD17/CD9)),1)*(AVERAGEIF($C$22:$C$69,"*EFICIENCIA*",CD22:CD69)),"")</f>
        <v/>
      </c>
      <c r="CE74" s="1021" t="str">
        <f>IFERROR(INDEX(TablaMaxCalifPos[],MATCH(CE16,HALLAZGOS,0),MATCH($B$8,TablaMaxCalifPos[#Headers],0))*IFERROR(SEARCH("*FISCAL*",CE16,1)*(1-(CE17/CE9)),1)*(AVERAGEIF($C$22:$C$69,"*EFICIENCIA*",CE22:CE69)),"")</f>
        <v/>
      </c>
      <c r="CF74" s="1021" t="str">
        <f>IFERROR(INDEX(TablaMaxCalifPos[],MATCH(CF16,HALLAZGOS,0),MATCH($B$8,TablaMaxCalifPos[#Headers],0))*IFERROR(SEARCH("*FISCAL*",CF16,1)*(1-(CF17/CF9)),1)*(AVERAGEIF($C$22:$C$69,"*EFICIENCIA*",CF22:CF69)),"")</f>
        <v/>
      </c>
      <c r="CG74" s="1021" t="str">
        <f>IFERROR(INDEX(TablaMaxCalifPos[],MATCH(CG16,HALLAZGOS,0),MATCH($B$8,TablaMaxCalifPos[#Headers],0))*IFERROR(SEARCH("*FISCAL*",CG16,1)*(1-(CG17/CG9)),1)*(AVERAGEIF($C$22:$C$69,"*EFICIENCIA*",CG22:CG69)),"")</f>
        <v/>
      </c>
      <c r="CH74" s="1021" t="str">
        <f>IFERROR(INDEX(TablaMaxCalifPos[],MATCH(CH16,HALLAZGOS,0),MATCH($B$8,TablaMaxCalifPos[#Headers],0))*IFERROR(SEARCH("*FISCAL*",CH16,1)*(1-(CH17/CH9)),1)*(AVERAGEIF($C$22:$C$69,"*EFICIENCIA*",CH22:CH69)),"")</f>
        <v/>
      </c>
      <c r="CI74" s="1021" t="str">
        <f>IFERROR(INDEX(TablaMaxCalifPos[],MATCH(CI16,HALLAZGOS,0),MATCH($B$8,TablaMaxCalifPos[#Headers],0))*IFERROR(SEARCH("*FISCAL*",CI16,1)*(1-(CI17/CI9)),1)*(AVERAGEIF($C$22:$C$69,"*EFICIENCIA*",CI22:CI69)),"")</f>
        <v/>
      </c>
      <c r="CJ74" s="1021" t="str">
        <f>IFERROR(INDEX(TablaMaxCalifPos[],MATCH(CJ16,HALLAZGOS,0),MATCH($B$8,TablaMaxCalifPos[#Headers],0))*IFERROR(SEARCH("*FISCAL*",CJ16,1)*(1-(CJ17/CJ9)),1)*(AVERAGEIF($C$22:$C$69,"*EFICIENCIA*",CJ22:CJ69)),"")</f>
        <v/>
      </c>
      <c r="CK74" s="1021" t="str">
        <f>IFERROR(INDEX(TablaMaxCalifPos[],MATCH(CK16,HALLAZGOS,0),MATCH($B$8,TablaMaxCalifPos[#Headers],0))*IFERROR(SEARCH("*FISCAL*",CK16,1)*(1-(CK17/CK9)),1)*(AVERAGEIF($C$22:$C$69,"*EFICIENCIA*",CK22:CK69)),"")</f>
        <v/>
      </c>
      <c r="CL74" s="1021" t="str">
        <f>IFERROR(INDEX(TablaMaxCalifPos[],MATCH(CL16,HALLAZGOS,0),MATCH($B$8,TablaMaxCalifPos[#Headers],0))*IFERROR(SEARCH("*FISCAL*",CL16,1)*(1-(CL17/CL9)),1)*(AVERAGEIF($C$22:$C$69,"*EFICIENCIA*",CL22:CL69)),"")</f>
        <v/>
      </c>
      <c r="CM74" s="1021" t="str">
        <f>IFERROR(INDEX(TablaMaxCalifPos[],MATCH(CM16,HALLAZGOS,0),MATCH($B$8,TablaMaxCalifPos[#Headers],0))*IFERROR(SEARCH("*FISCAL*",CM16,1)*(1-(CM17/CM9)),1)*(AVERAGEIF($C$22:$C$69,"*EFICIENCIA*",CM22:CM69)),"")</f>
        <v/>
      </c>
      <c r="CN74" s="1021" t="str">
        <f>IFERROR(INDEX(TablaMaxCalifPos[],MATCH(CN16,HALLAZGOS,0),MATCH($B$8,TablaMaxCalifPos[#Headers],0))*IFERROR(SEARCH("*FISCAL*",CN16,1)*(1-(CN17/CN9)),1)*(AVERAGEIF($C$22:$C$69,"*EFICIENCIA*",CN22:CN69)),"")</f>
        <v/>
      </c>
      <c r="CO74" s="1021" t="str">
        <f>IFERROR(INDEX(TablaMaxCalifPos[],MATCH(CO16,HALLAZGOS,0),MATCH($B$8,TablaMaxCalifPos[#Headers],0))*IFERROR(SEARCH("*FISCAL*",CO16,1)*(1-(CO17/CO9)),1)*(AVERAGEIF($C$22:$C$69,"*EFICIENCIA*",CO22:CO69)),"")</f>
        <v/>
      </c>
      <c r="CP74" s="1021" t="str">
        <f>IFERROR(INDEX(TablaMaxCalifPos[],MATCH(CP16,HALLAZGOS,0),MATCH($B$8,TablaMaxCalifPos[#Headers],0))*IFERROR(SEARCH("*FISCAL*",CP16,1)*(1-(CP17/CP9)),1)*(AVERAGEIF($C$22:$C$69,"*EFICIENCIA*",CP22:CP69)),"")</f>
        <v/>
      </c>
      <c r="CQ74" s="1021" t="str">
        <f>IFERROR(INDEX(TablaMaxCalifPos[],MATCH(CQ16,HALLAZGOS,0),MATCH($B$8,TablaMaxCalifPos[#Headers],0))*IFERROR(SEARCH("*FISCAL*",CQ16,1)*(1-(CQ17/CQ9)),1)*(AVERAGEIF($C$22:$C$69,"*EFICIENCIA*",CQ22:CQ69)),"")</f>
        <v/>
      </c>
      <c r="CR74" s="1021" t="str">
        <f>IFERROR(INDEX(TablaMaxCalifPos[],MATCH(CR16,HALLAZGOS,0),MATCH($B$8,TablaMaxCalifPos[#Headers],0))*IFERROR(SEARCH("*FISCAL*",CR16,1)*(1-(CR17/CR9)),1)*(AVERAGEIF($C$22:$C$69,"*EFICIENCIA*",CR22:CR69)),"")</f>
        <v/>
      </c>
      <c r="CS74" s="1021" t="str">
        <f>IFERROR(INDEX(TablaMaxCalifPos[],MATCH(CS16,HALLAZGOS,0),MATCH($B$8,TablaMaxCalifPos[#Headers],0))*IFERROR(SEARCH("*FISCAL*",CS16,1)*(1-(CS17/CS9)),1)*(AVERAGEIF($C$22:$C$69,"*EFICIENCIA*",CS22:CS69)),"")</f>
        <v/>
      </c>
      <c r="CT74" s="1021" t="str">
        <f>IFERROR(INDEX(TablaMaxCalifPos[],MATCH(CT16,HALLAZGOS,0),MATCH($B$8,TablaMaxCalifPos[#Headers],0))*IFERROR(SEARCH("*FISCAL*",CT16,1)*(1-(CT17/CT9)),1)*(AVERAGEIF($C$22:$C$69,"*EFICIENCIA*",CT22:CT69)),"")</f>
        <v/>
      </c>
      <c r="CU74" s="1021" t="str">
        <f>IFERROR(INDEX(TablaMaxCalifPos[],MATCH(CU16,HALLAZGOS,0),MATCH($B$8,TablaMaxCalifPos[#Headers],0))*IFERROR(SEARCH("*FISCAL*",CU16,1)*(1-(CU17/CU9)),1)*(AVERAGEIF($C$22:$C$69,"*EFICIENCIA*",CU22:CU69)),"")</f>
        <v/>
      </c>
      <c r="CV74" s="1021" t="str">
        <f>IFERROR(INDEX(TablaMaxCalifPos[],MATCH(CV16,HALLAZGOS,0),MATCH($B$8,TablaMaxCalifPos[#Headers],0))*IFERROR(SEARCH("*FISCAL*",CV16,1)*(1-(CV17/CV9)),1)*(AVERAGEIF($C$22:$C$69,"*EFICIENCIA*",CV22:CV69)),"")</f>
        <v/>
      </c>
      <c r="CW74" s="1021" t="str">
        <f>IFERROR(INDEX(TablaMaxCalifPos[],MATCH(CW16,HALLAZGOS,0),MATCH($B$8,TablaMaxCalifPos[#Headers],0))*IFERROR(SEARCH("*FISCAL*",CW16,1)*(1-(CW17/CW9)),1)*(AVERAGEIF($C$22:$C$69,"*EFICIENCIA*",CW22:CW69)),"")</f>
        <v/>
      </c>
      <c r="CX74" s="1021" t="str">
        <f>IFERROR(INDEX(TablaMaxCalifPos[],MATCH(CX16,HALLAZGOS,0),MATCH($B$8,TablaMaxCalifPos[#Headers],0))*IFERROR(SEARCH("*FISCAL*",CX16,1)*(1-(CX17/CX9)),1)*(AVERAGEIF($C$22:$C$69,"*EFICIENCIA*",CX22:CX69)),"")</f>
        <v/>
      </c>
      <c r="CY74" s="1021" t="str">
        <f>IFERROR(INDEX(TablaMaxCalifPos[],MATCH(CY16,HALLAZGOS,0),MATCH($B$8,TablaMaxCalifPos[#Headers],0))*IFERROR(SEARCH("*FISCAL*",CY16,1)*(1-(CY17/CY9)),1)*(AVERAGEIF($C$22:$C$69,"*EFICIENCIA*",CY22:CY69)),"")</f>
        <v/>
      </c>
      <c r="CZ74" s="176" t="s">
        <v>273</v>
      </c>
    </row>
    <row r="75" spans="1:105" s="175" customFormat="1" ht="18" x14ac:dyDescent="0.25">
      <c r="C75" s="1313"/>
      <c r="D75" s="176"/>
      <c r="E75" s="177"/>
      <c r="F75" s="177"/>
      <c r="G75" s="177"/>
      <c r="H75" s="177"/>
      <c r="I75" s="177"/>
      <c r="J75" s="177"/>
      <c r="K75" s="177"/>
      <c r="L75" s="177"/>
      <c r="M75" s="177"/>
      <c r="N75" s="177"/>
      <c r="O75" s="177"/>
      <c r="P75" s="177"/>
      <c r="Q75" s="177"/>
      <c r="R75" s="177"/>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6"/>
      <c r="BG75" s="176"/>
      <c r="BH75" s="176"/>
      <c r="BI75" s="176"/>
      <c r="BJ75" s="176"/>
      <c r="BK75" s="176"/>
      <c r="BL75" s="176"/>
      <c r="BM75" s="176"/>
      <c r="BN75" s="176"/>
      <c r="BO75" s="176"/>
      <c r="BP75" s="176"/>
      <c r="BQ75" s="176"/>
      <c r="BR75" s="176"/>
      <c r="BS75" s="176"/>
      <c r="BT75" s="176"/>
      <c r="BU75" s="176"/>
      <c r="BV75" s="176"/>
      <c r="BW75" s="176"/>
      <c r="BX75" s="176"/>
      <c r="BY75" s="176"/>
      <c r="BZ75" s="176"/>
      <c r="CA75" s="176"/>
      <c r="CB75" s="176"/>
      <c r="CC75" s="176"/>
      <c r="CD75" s="176"/>
      <c r="CE75" s="176"/>
      <c r="CF75" s="176"/>
      <c r="CG75" s="176"/>
      <c r="CH75" s="176"/>
      <c r="CI75" s="176"/>
      <c r="CJ75" s="176"/>
      <c r="CK75" s="176"/>
      <c r="CL75" s="176"/>
      <c r="CM75" s="176"/>
      <c r="CN75" s="176"/>
      <c r="CO75" s="176"/>
      <c r="CP75" s="176"/>
      <c r="CQ75" s="176"/>
      <c r="CR75" s="176"/>
      <c r="CS75" s="176"/>
      <c r="CT75" s="176"/>
      <c r="CU75" s="176"/>
      <c r="CV75" s="176"/>
      <c r="CW75" s="176"/>
      <c r="CX75" s="176"/>
      <c r="CY75" s="176"/>
      <c r="CZ75" s="176"/>
    </row>
    <row r="76" spans="1:105" s="186" customFormat="1" ht="15" x14ac:dyDescent="0.25">
      <c r="C76" s="1319"/>
      <c r="D76" s="173" t="s">
        <v>274</v>
      </c>
      <c r="E76" s="181">
        <f t="shared" ref="E76:AJ76" si="3">IFERROR(E72*E15,"")</f>
        <v>3.8083031929003722E-3</v>
      </c>
      <c r="F76" s="181">
        <f t="shared" si="3"/>
        <v>7.3875647054937911E-4</v>
      </c>
      <c r="G76" s="181">
        <f t="shared" si="3"/>
        <v>0.11065741167480794</v>
      </c>
      <c r="H76" s="181">
        <f t="shared" si="3"/>
        <v>0.10018050172883491</v>
      </c>
      <c r="I76" s="181">
        <f t="shared" si="3"/>
        <v>0.17455341802587093</v>
      </c>
      <c r="J76" s="181">
        <f t="shared" si="3"/>
        <v>8.7163733946798785E-2</v>
      </c>
      <c r="K76" s="181">
        <f t="shared" si="3"/>
        <v>0.16650115959129452</v>
      </c>
      <c r="L76" s="181" t="str">
        <f t="shared" si="3"/>
        <v/>
      </c>
      <c r="M76" s="181" t="str">
        <f t="shared" si="3"/>
        <v/>
      </c>
      <c r="N76" s="181" t="str">
        <f t="shared" si="3"/>
        <v/>
      </c>
      <c r="O76" s="181" t="str">
        <f t="shared" si="3"/>
        <v/>
      </c>
      <c r="P76" s="181" t="str">
        <f t="shared" si="3"/>
        <v/>
      </c>
      <c r="Q76" s="181" t="str">
        <f t="shared" si="3"/>
        <v/>
      </c>
      <c r="R76" s="181" t="str">
        <f t="shared" si="3"/>
        <v/>
      </c>
      <c r="S76" s="181" t="str">
        <f t="shared" si="3"/>
        <v/>
      </c>
      <c r="T76" s="181" t="str">
        <f t="shared" si="3"/>
        <v/>
      </c>
      <c r="U76" s="181" t="str">
        <f t="shared" si="3"/>
        <v/>
      </c>
      <c r="V76" s="181" t="str">
        <f t="shared" si="3"/>
        <v/>
      </c>
      <c r="W76" s="181" t="str">
        <f t="shared" si="3"/>
        <v/>
      </c>
      <c r="X76" s="181" t="str">
        <f t="shared" si="3"/>
        <v/>
      </c>
      <c r="Y76" s="181" t="str">
        <f t="shared" si="3"/>
        <v/>
      </c>
      <c r="Z76" s="181" t="str">
        <f t="shared" si="3"/>
        <v/>
      </c>
      <c r="AA76" s="181" t="str">
        <f t="shared" si="3"/>
        <v/>
      </c>
      <c r="AB76" s="181" t="str">
        <f t="shared" si="3"/>
        <v/>
      </c>
      <c r="AC76" s="181" t="str">
        <f t="shared" si="3"/>
        <v/>
      </c>
      <c r="AD76" s="181" t="str">
        <f t="shared" si="3"/>
        <v/>
      </c>
      <c r="AE76" s="181" t="str">
        <f t="shared" si="3"/>
        <v/>
      </c>
      <c r="AF76" s="181" t="str">
        <f t="shared" si="3"/>
        <v/>
      </c>
      <c r="AG76" s="181" t="str">
        <f t="shared" si="3"/>
        <v/>
      </c>
      <c r="AH76" s="181" t="str">
        <f t="shared" si="3"/>
        <v/>
      </c>
      <c r="AI76" s="181" t="str">
        <f t="shared" si="3"/>
        <v/>
      </c>
      <c r="AJ76" s="181" t="str">
        <f t="shared" si="3"/>
        <v/>
      </c>
      <c r="AK76" s="181" t="str">
        <f t="shared" ref="AK76:BP76" si="4">IFERROR(AK72*AK15,"")</f>
        <v/>
      </c>
      <c r="AL76" s="181" t="str">
        <f t="shared" si="4"/>
        <v/>
      </c>
      <c r="AM76" s="181" t="str">
        <f t="shared" si="4"/>
        <v/>
      </c>
      <c r="AN76" s="181" t="str">
        <f t="shared" si="4"/>
        <v/>
      </c>
      <c r="AO76" s="181" t="str">
        <f t="shared" si="4"/>
        <v/>
      </c>
      <c r="AP76" s="181" t="str">
        <f t="shared" si="4"/>
        <v/>
      </c>
      <c r="AQ76" s="181" t="str">
        <f t="shared" si="4"/>
        <v/>
      </c>
      <c r="AR76" s="181" t="str">
        <f t="shared" si="4"/>
        <v/>
      </c>
      <c r="AS76" s="181" t="str">
        <f t="shared" si="4"/>
        <v/>
      </c>
      <c r="AT76" s="181" t="str">
        <f t="shared" si="4"/>
        <v/>
      </c>
      <c r="AU76" s="181" t="str">
        <f t="shared" si="4"/>
        <v/>
      </c>
      <c r="AV76" s="181" t="str">
        <f t="shared" si="4"/>
        <v/>
      </c>
      <c r="AW76" s="181" t="str">
        <f t="shared" si="4"/>
        <v/>
      </c>
      <c r="AX76" s="181" t="str">
        <f t="shared" si="4"/>
        <v/>
      </c>
      <c r="AY76" s="181" t="str">
        <f t="shared" si="4"/>
        <v/>
      </c>
      <c r="AZ76" s="181" t="str">
        <f t="shared" si="4"/>
        <v/>
      </c>
      <c r="BA76" s="181" t="str">
        <f t="shared" si="4"/>
        <v/>
      </c>
      <c r="BB76" s="181" t="str">
        <f t="shared" si="4"/>
        <v/>
      </c>
      <c r="BC76" s="181" t="str">
        <f t="shared" si="4"/>
        <v/>
      </c>
      <c r="BD76" s="181" t="str">
        <f t="shared" si="4"/>
        <v/>
      </c>
      <c r="BE76" s="181" t="str">
        <f t="shared" si="4"/>
        <v/>
      </c>
      <c r="BF76" s="181" t="str">
        <f t="shared" si="4"/>
        <v/>
      </c>
      <c r="BG76" s="181" t="str">
        <f t="shared" si="4"/>
        <v/>
      </c>
      <c r="BH76" s="181" t="str">
        <f t="shared" si="4"/>
        <v/>
      </c>
      <c r="BI76" s="181" t="str">
        <f t="shared" si="4"/>
        <v/>
      </c>
      <c r="BJ76" s="181" t="str">
        <f t="shared" si="4"/>
        <v/>
      </c>
      <c r="BK76" s="181" t="str">
        <f t="shared" si="4"/>
        <v/>
      </c>
      <c r="BL76" s="181" t="str">
        <f t="shared" si="4"/>
        <v/>
      </c>
      <c r="BM76" s="181" t="str">
        <f t="shared" si="4"/>
        <v/>
      </c>
      <c r="BN76" s="181" t="str">
        <f t="shared" si="4"/>
        <v/>
      </c>
      <c r="BO76" s="181" t="str">
        <f t="shared" si="4"/>
        <v/>
      </c>
      <c r="BP76" s="181" t="str">
        <f t="shared" si="4"/>
        <v/>
      </c>
      <c r="BQ76" s="181" t="str">
        <f t="shared" ref="BQ76:CY76" si="5">IFERROR(BQ72*BQ15,"")</f>
        <v/>
      </c>
      <c r="BR76" s="181" t="str">
        <f t="shared" si="5"/>
        <v/>
      </c>
      <c r="BS76" s="181" t="str">
        <f t="shared" si="5"/>
        <v/>
      </c>
      <c r="BT76" s="181" t="str">
        <f t="shared" si="5"/>
        <v/>
      </c>
      <c r="BU76" s="181" t="str">
        <f t="shared" si="5"/>
        <v/>
      </c>
      <c r="BV76" s="181" t="str">
        <f t="shared" si="5"/>
        <v/>
      </c>
      <c r="BW76" s="181" t="str">
        <f t="shared" si="5"/>
        <v/>
      </c>
      <c r="BX76" s="181" t="str">
        <f t="shared" si="5"/>
        <v/>
      </c>
      <c r="BY76" s="181" t="str">
        <f t="shared" si="5"/>
        <v/>
      </c>
      <c r="BZ76" s="181" t="str">
        <f t="shared" si="5"/>
        <v/>
      </c>
      <c r="CA76" s="181" t="str">
        <f t="shared" si="5"/>
        <v/>
      </c>
      <c r="CB76" s="181" t="str">
        <f t="shared" si="5"/>
        <v/>
      </c>
      <c r="CC76" s="181" t="str">
        <f t="shared" si="5"/>
        <v/>
      </c>
      <c r="CD76" s="181" t="str">
        <f t="shared" si="5"/>
        <v/>
      </c>
      <c r="CE76" s="181" t="str">
        <f t="shared" si="5"/>
        <v/>
      </c>
      <c r="CF76" s="181" t="str">
        <f t="shared" si="5"/>
        <v/>
      </c>
      <c r="CG76" s="181" t="str">
        <f t="shared" si="5"/>
        <v/>
      </c>
      <c r="CH76" s="181" t="str">
        <f t="shared" si="5"/>
        <v/>
      </c>
      <c r="CI76" s="181" t="str">
        <f t="shared" si="5"/>
        <v/>
      </c>
      <c r="CJ76" s="181" t="str">
        <f t="shared" si="5"/>
        <v/>
      </c>
      <c r="CK76" s="181" t="str">
        <f t="shared" si="5"/>
        <v/>
      </c>
      <c r="CL76" s="181" t="str">
        <f t="shared" si="5"/>
        <v/>
      </c>
      <c r="CM76" s="181" t="str">
        <f t="shared" si="5"/>
        <v/>
      </c>
      <c r="CN76" s="181" t="str">
        <f t="shared" si="5"/>
        <v/>
      </c>
      <c r="CO76" s="181" t="str">
        <f t="shared" si="5"/>
        <v/>
      </c>
      <c r="CP76" s="181" t="str">
        <f t="shared" si="5"/>
        <v/>
      </c>
      <c r="CQ76" s="181" t="str">
        <f t="shared" si="5"/>
        <v/>
      </c>
      <c r="CR76" s="181" t="str">
        <f t="shared" si="5"/>
        <v/>
      </c>
      <c r="CS76" s="181" t="str">
        <f t="shared" si="5"/>
        <v/>
      </c>
      <c r="CT76" s="181" t="str">
        <f t="shared" si="5"/>
        <v/>
      </c>
      <c r="CU76" s="181" t="str">
        <f t="shared" si="5"/>
        <v/>
      </c>
      <c r="CV76" s="181" t="str">
        <f t="shared" si="5"/>
        <v/>
      </c>
      <c r="CW76" s="181" t="str">
        <f t="shared" si="5"/>
        <v/>
      </c>
      <c r="CX76" s="181" t="str">
        <f t="shared" si="5"/>
        <v/>
      </c>
      <c r="CY76" s="181" t="str">
        <f t="shared" si="5"/>
        <v/>
      </c>
      <c r="CZ76" s="182">
        <f>IFERROR(SUM(E76:CY76)/SUMIF(E76:CY76,"&gt;=0",E15:CY15),"")</f>
        <v>0.64360328463105687</v>
      </c>
      <c r="DA76" s="1320"/>
    </row>
    <row r="77" spans="1:105" s="186" customFormat="1" ht="15" x14ac:dyDescent="0.25">
      <c r="C77" s="1319"/>
      <c r="D77" s="173" t="s">
        <v>275</v>
      </c>
      <c r="E77" s="181">
        <f t="shared" ref="E77:AJ77" si="6">IFERROR(E73*E15,"")</f>
        <v>3.8432417543031281E-3</v>
      </c>
      <c r="F77" s="181">
        <f t="shared" si="6"/>
        <v>7.0139162016032099E-4</v>
      </c>
      <c r="G77" s="181">
        <f t="shared" si="6"/>
        <v>0.11624012793948292</v>
      </c>
      <c r="H77" s="181">
        <f t="shared" si="6"/>
        <v>9.2283921004326738E-2</v>
      </c>
      <c r="I77" s="181">
        <f t="shared" si="6"/>
        <v>0.17237150030054754</v>
      </c>
      <c r="J77" s="181">
        <f t="shared" si="6"/>
        <v>9.4983269602740339E-2</v>
      </c>
      <c r="K77" s="181">
        <f t="shared" si="6"/>
        <v>0.18104226086226755</v>
      </c>
      <c r="L77" s="181" t="str">
        <f t="shared" si="6"/>
        <v/>
      </c>
      <c r="M77" s="181" t="str">
        <f t="shared" si="6"/>
        <v/>
      </c>
      <c r="N77" s="181" t="str">
        <f t="shared" si="6"/>
        <v/>
      </c>
      <c r="O77" s="181" t="str">
        <f t="shared" si="6"/>
        <v/>
      </c>
      <c r="P77" s="181" t="str">
        <f t="shared" si="6"/>
        <v/>
      </c>
      <c r="Q77" s="181" t="str">
        <f t="shared" si="6"/>
        <v/>
      </c>
      <c r="R77" s="181" t="str">
        <f t="shared" si="6"/>
        <v/>
      </c>
      <c r="S77" s="181" t="str">
        <f t="shared" si="6"/>
        <v/>
      </c>
      <c r="T77" s="181" t="str">
        <f t="shared" si="6"/>
        <v/>
      </c>
      <c r="U77" s="181" t="str">
        <f t="shared" si="6"/>
        <v/>
      </c>
      <c r="V77" s="181" t="str">
        <f t="shared" si="6"/>
        <v/>
      </c>
      <c r="W77" s="181" t="str">
        <f t="shared" si="6"/>
        <v/>
      </c>
      <c r="X77" s="181" t="str">
        <f t="shared" si="6"/>
        <v/>
      </c>
      <c r="Y77" s="181" t="str">
        <f t="shared" si="6"/>
        <v/>
      </c>
      <c r="Z77" s="181" t="str">
        <f t="shared" si="6"/>
        <v/>
      </c>
      <c r="AA77" s="181" t="str">
        <f t="shared" si="6"/>
        <v/>
      </c>
      <c r="AB77" s="181" t="str">
        <f t="shared" si="6"/>
        <v/>
      </c>
      <c r="AC77" s="181" t="str">
        <f t="shared" si="6"/>
        <v/>
      </c>
      <c r="AD77" s="181" t="str">
        <f t="shared" si="6"/>
        <v/>
      </c>
      <c r="AE77" s="181" t="str">
        <f t="shared" si="6"/>
        <v/>
      </c>
      <c r="AF77" s="181" t="str">
        <f t="shared" si="6"/>
        <v/>
      </c>
      <c r="AG77" s="181" t="str">
        <f t="shared" si="6"/>
        <v/>
      </c>
      <c r="AH77" s="181" t="str">
        <f t="shared" si="6"/>
        <v/>
      </c>
      <c r="AI77" s="181" t="str">
        <f t="shared" si="6"/>
        <v/>
      </c>
      <c r="AJ77" s="181" t="str">
        <f t="shared" si="6"/>
        <v/>
      </c>
      <c r="AK77" s="181" t="str">
        <f t="shared" ref="AK77:BP77" si="7">IFERROR(AK73*AK15,"")</f>
        <v/>
      </c>
      <c r="AL77" s="181" t="str">
        <f t="shared" si="7"/>
        <v/>
      </c>
      <c r="AM77" s="181" t="str">
        <f t="shared" si="7"/>
        <v/>
      </c>
      <c r="AN77" s="181" t="str">
        <f t="shared" si="7"/>
        <v/>
      </c>
      <c r="AO77" s="181" t="str">
        <f t="shared" si="7"/>
        <v/>
      </c>
      <c r="AP77" s="181" t="str">
        <f t="shared" si="7"/>
        <v/>
      </c>
      <c r="AQ77" s="181" t="str">
        <f t="shared" si="7"/>
        <v/>
      </c>
      <c r="AR77" s="181" t="str">
        <f t="shared" si="7"/>
        <v/>
      </c>
      <c r="AS77" s="181" t="str">
        <f t="shared" si="7"/>
        <v/>
      </c>
      <c r="AT77" s="181" t="str">
        <f t="shared" si="7"/>
        <v/>
      </c>
      <c r="AU77" s="181" t="str">
        <f t="shared" si="7"/>
        <v/>
      </c>
      <c r="AV77" s="181" t="str">
        <f t="shared" si="7"/>
        <v/>
      </c>
      <c r="AW77" s="181" t="str">
        <f t="shared" si="7"/>
        <v/>
      </c>
      <c r="AX77" s="181" t="str">
        <f t="shared" si="7"/>
        <v/>
      </c>
      <c r="AY77" s="181" t="str">
        <f t="shared" si="7"/>
        <v/>
      </c>
      <c r="AZ77" s="181" t="str">
        <f t="shared" si="7"/>
        <v/>
      </c>
      <c r="BA77" s="181" t="str">
        <f t="shared" si="7"/>
        <v/>
      </c>
      <c r="BB77" s="181" t="str">
        <f t="shared" si="7"/>
        <v/>
      </c>
      <c r="BC77" s="181" t="str">
        <f t="shared" si="7"/>
        <v/>
      </c>
      <c r="BD77" s="181" t="str">
        <f t="shared" si="7"/>
        <v/>
      </c>
      <c r="BE77" s="181" t="str">
        <f t="shared" si="7"/>
        <v/>
      </c>
      <c r="BF77" s="181" t="str">
        <f t="shared" si="7"/>
        <v/>
      </c>
      <c r="BG77" s="181" t="str">
        <f t="shared" si="7"/>
        <v/>
      </c>
      <c r="BH77" s="181" t="str">
        <f t="shared" si="7"/>
        <v/>
      </c>
      <c r="BI77" s="181" t="str">
        <f t="shared" si="7"/>
        <v/>
      </c>
      <c r="BJ77" s="181" t="str">
        <f t="shared" si="7"/>
        <v/>
      </c>
      <c r="BK77" s="181" t="str">
        <f t="shared" si="7"/>
        <v/>
      </c>
      <c r="BL77" s="181" t="str">
        <f t="shared" si="7"/>
        <v/>
      </c>
      <c r="BM77" s="181" t="str">
        <f t="shared" si="7"/>
        <v/>
      </c>
      <c r="BN77" s="181" t="str">
        <f t="shared" si="7"/>
        <v/>
      </c>
      <c r="BO77" s="181" t="str">
        <f t="shared" si="7"/>
        <v/>
      </c>
      <c r="BP77" s="181" t="str">
        <f t="shared" si="7"/>
        <v/>
      </c>
      <c r="BQ77" s="181" t="str">
        <f t="shared" ref="BQ77:CY77" si="8">IFERROR(BQ73*BQ15,"")</f>
        <v/>
      </c>
      <c r="BR77" s="181" t="str">
        <f t="shared" si="8"/>
        <v/>
      </c>
      <c r="BS77" s="181" t="str">
        <f t="shared" si="8"/>
        <v/>
      </c>
      <c r="BT77" s="181" t="str">
        <f t="shared" si="8"/>
        <v/>
      </c>
      <c r="BU77" s="181" t="str">
        <f t="shared" si="8"/>
        <v/>
      </c>
      <c r="BV77" s="181" t="str">
        <f t="shared" si="8"/>
        <v/>
      </c>
      <c r="BW77" s="181" t="str">
        <f t="shared" si="8"/>
        <v/>
      </c>
      <c r="BX77" s="181" t="str">
        <f t="shared" si="8"/>
        <v/>
      </c>
      <c r="BY77" s="181" t="str">
        <f t="shared" si="8"/>
        <v/>
      </c>
      <c r="BZ77" s="181" t="str">
        <f t="shared" si="8"/>
        <v/>
      </c>
      <c r="CA77" s="181" t="str">
        <f t="shared" si="8"/>
        <v/>
      </c>
      <c r="CB77" s="181" t="str">
        <f t="shared" si="8"/>
        <v/>
      </c>
      <c r="CC77" s="181" t="str">
        <f t="shared" si="8"/>
        <v/>
      </c>
      <c r="CD77" s="181" t="str">
        <f t="shared" si="8"/>
        <v/>
      </c>
      <c r="CE77" s="181" t="str">
        <f t="shared" si="8"/>
        <v/>
      </c>
      <c r="CF77" s="181" t="str">
        <f t="shared" si="8"/>
        <v/>
      </c>
      <c r="CG77" s="181" t="str">
        <f t="shared" si="8"/>
        <v/>
      </c>
      <c r="CH77" s="181" t="str">
        <f t="shared" si="8"/>
        <v/>
      </c>
      <c r="CI77" s="181" t="str">
        <f t="shared" si="8"/>
        <v/>
      </c>
      <c r="CJ77" s="181" t="str">
        <f t="shared" si="8"/>
        <v/>
      </c>
      <c r="CK77" s="181" t="str">
        <f t="shared" si="8"/>
        <v/>
      </c>
      <c r="CL77" s="181" t="str">
        <f t="shared" si="8"/>
        <v/>
      </c>
      <c r="CM77" s="181" t="str">
        <f t="shared" si="8"/>
        <v/>
      </c>
      <c r="CN77" s="181" t="str">
        <f t="shared" si="8"/>
        <v/>
      </c>
      <c r="CO77" s="181" t="str">
        <f t="shared" si="8"/>
        <v/>
      </c>
      <c r="CP77" s="181" t="str">
        <f t="shared" si="8"/>
        <v/>
      </c>
      <c r="CQ77" s="181" t="str">
        <f t="shared" si="8"/>
        <v/>
      </c>
      <c r="CR77" s="181" t="str">
        <f t="shared" si="8"/>
        <v/>
      </c>
      <c r="CS77" s="181" t="str">
        <f t="shared" si="8"/>
        <v/>
      </c>
      <c r="CT77" s="181" t="str">
        <f t="shared" si="8"/>
        <v/>
      </c>
      <c r="CU77" s="181" t="str">
        <f t="shared" si="8"/>
        <v/>
      </c>
      <c r="CV77" s="181" t="str">
        <f t="shared" si="8"/>
        <v/>
      </c>
      <c r="CW77" s="181" t="str">
        <f t="shared" si="8"/>
        <v/>
      </c>
      <c r="CX77" s="181" t="str">
        <f t="shared" si="8"/>
        <v/>
      </c>
      <c r="CY77" s="181" t="str">
        <f t="shared" si="8"/>
        <v/>
      </c>
      <c r="CZ77" s="182">
        <f>IFERROR(SUM(E77:CY77)/SUMIF(E77:CY77,"&gt;=0",E15:CY15),"")</f>
        <v>0.66146571308382851</v>
      </c>
    </row>
    <row r="78" spans="1:105" s="186" customFormat="1" ht="15" x14ac:dyDescent="0.25">
      <c r="C78" s="1319"/>
      <c r="D78" s="173" t="s">
        <v>276</v>
      </c>
      <c r="E78" s="181">
        <f t="shared" ref="E78:AJ78" si="9">IFERROR(E74*E15,"")</f>
        <v>3.7471607104455494E-3</v>
      </c>
      <c r="F78" s="181">
        <f t="shared" si="9"/>
        <v>6.6872406524874433E-4</v>
      </c>
      <c r="G78" s="181">
        <f t="shared" si="9"/>
        <v>0.11185370801723829</v>
      </c>
      <c r="H78" s="181">
        <f t="shared" si="9"/>
        <v>0.10342163560829722</v>
      </c>
      <c r="I78" s="181">
        <f t="shared" si="9"/>
        <v>0.16582574712457737</v>
      </c>
      <c r="J78" s="181">
        <f t="shared" si="9"/>
        <v>9.2945002014698699E-2</v>
      </c>
      <c r="K78" s="181">
        <f t="shared" si="9"/>
        <v>0.1699051832984943</v>
      </c>
      <c r="L78" s="181" t="str">
        <f t="shared" si="9"/>
        <v/>
      </c>
      <c r="M78" s="181" t="str">
        <f t="shared" si="9"/>
        <v/>
      </c>
      <c r="N78" s="181" t="str">
        <f t="shared" si="9"/>
        <v/>
      </c>
      <c r="O78" s="181" t="str">
        <f t="shared" si="9"/>
        <v/>
      </c>
      <c r="P78" s="181" t="str">
        <f t="shared" si="9"/>
        <v/>
      </c>
      <c r="Q78" s="181" t="str">
        <f t="shared" si="9"/>
        <v/>
      </c>
      <c r="R78" s="181" t="str">
        <f t="shared" si="9"/>
        <v/>
      </c>
      <c r="S78" s="181" t="str">
        <f t="shared" si="9"/>
        <v/>
      </c>
      <c r="T78" s="181" t="str">
        <f t="shared" si="9"/>
        <v/>
      </c>
      <c r="U78" s="181" t="str">
        <f t="shared" si="9"/>
        <v/>
      </c>
      <c r="V78" s="181" t="str">
        <f t="shared" si="9"/>
        <v/>
      </c>
      <c r="W78" s="181" t="str">
        <f t="shared" si="9"/>
        <v/>
      </c>
      <c r="X78" s="181" t="str">
        <f t="shared" si="9"/>
        <v/>
      </c>
      <c r="Y78" s="181" t="str">
        <f t="shared" si="9"/>
        <v/>
      </c>
      <c r="Z78" s="181" t="str">
        <f t="shared" si="9"/>
        <v/>
      </c>
      <c r="AA78" s="181" t="str">
        <f t="shared" si="9"/>
        <v/>
      </c>
      <c r="AB78" s="181" t="str">
        <f t="shared" si="9"/>
        <v/>
      </c>
      <c r="AC78" s="181" t="str">
        <f t="shared" si="9"/>
        <v/>
      </c>
      <c r="AD78" s="181" t="str">
        <f t="shared" si="9"/>
        <v/>
      </c>
      <c r="AE78" s="181" t="str">
        <f t="shared" si="9"/>
        <v/>
      </c>
      <c r="AF78" s="181" t="str">
        <f t="shared" si="9"/>
        <v/>
      </c>
      <c r="AG78" s="181" t="str">
        <f t="shared" si="9"/>
        <v/>
      </c>
      <c r="AH78" s="181" t="str">
        <f t="shared" si="9"/>
        <v/>
      </c>
      <c r="AI78" s="181" t="str">
        <f t="shared" si="9"/>
        <v/>
      </c>
      <c r="AJ78" s="181" t="str">
        <f t="shared" si="9"/>
        <v/>
      </c>
      <c r="AK78" s="181" t="str">
        <f t="shared" ref="AK78:BP78" si="10">IFERROR(AK74*AK15,"")</f>
        <v/>
      </c>
      <c r="AL78" s="181" t="str">
        <f t="shared" si="10"/>
        <v/>
      </c>
      <c r="AM78" s="181" t="str">
        <f t="shared" si="10"/>
        <v/>
      </c>
      <c r="AN78" s="181" t="str">
        <f t="shared" si="10"/>
        <v/>
      </c>
      <c r="AO78" s="181" t="str">
        <f t="shared" si="10"/>
        <v/>
      </c>
      <c r="AP78" s="181" t="str">
        <f t="shared" si="10"/>
        <v/>
      </c>
      <c r="AQ78" s="181" t="str">
        <f t="shared" si="10"/>
        <v/>
      </c>
      <c r="AR78" s="181" t="str">
        <f t="shared" si="10"/>
        <v/>
      </c>
      <c r="AS78" s="181" t="str">
        <f t="shared" si="10"/>
        <v/>
      </c>
      <c r="AT78" s="181" t="str">
        <f t="shared" si="10"/>
        <v/>
      </c>
      <c r="AU78" s="181" t="str">
        <f t="shared" si="10"/>
        <v/>
      </c>
      <c r="AV78" s="181" t="str">
        <f t="shared" si="10"/>
        <v/>
      </c>
      <c r="AW78" s="181" t="str">
        <f t="shared" si="10"/>
        <v/>
      </c>
      <c r="AX78" s="181" t="str">
        <f t="shared" si="10"/>
        <v/>
      </c>
      <c r="AY78" s="181" t="str">
        <f t="shared" si="10"/>
        <v/>
      </c>
      <c r="AZ78" s="181" t="str">
        <f t="shared" si="10"/>
        <v/>
      </c>
      <c r="BA78" s="181" t="str">
        <f t="shared" si="10"/>
        <v/>
      </c>
      <c r="BB78" s="181" t="str">
        <f t="shared" si="10"/>
        <v/>
      </c>
      <c r="BC78" s="181" t="str">
        <f t="shared" si="10"/>
        <v/>
      </c>
      <c r="BD78" s="181" t="str">
        <f t="shared" si="10"/>
        <v/>
      </c>
      <c r="BE78" s="181" t="str">
        <f t="shared" si="10"/>
        <v/>
      </c>
      <c r="BF78" s="181" t="str">
        <f t="shared" si="10"/>
        <v/>
      </c>
      <c r="BG78" s="181" t="str">
        <f t="shared" si="10"/>
        <v/>
      </c>
      <c r="BH78" s="181" t="str">
        <f t="shared" si="10"/>
        <v/>
      </c>
      <c r="BI78" s="181" t="str">
        <f t="shared" si="10"/>
        <v/>
      </c>
      <c r="BJ78" s="181" t="str">
        <f t="shared" si="10"/>
        <v/>
      </c>
      <c r="BK78" s="181" t="str">
        <f t="shared" si="10"/>
        <v/>
      </c>
      <c r="BL78" s="181" t="str">
        <f t="shared" si="10"/>
        <v/>
      </c>
      <c r="BM78" s="181" t="str">
        <f t="shared" si="10"/>
        <v/>
      </c>
      <c r="BN78" s="181" t="str">
        <f t="shared" si="10"/>
        <v/>
      </c>
      <c r="BO78" s="181" t="str">
        <f t="shared" si="10"/>
        <v/>
      </c>
      <c r="BP78" s="181" t="str">
        <f t="shared" si="10"/>
        <v/>
      </c>
      <c r="BQ78" s="181" t="str">
        <f t="shared" ref="BQ78:CY78" si="11">IFERROR(BQ74*BQ15,"")</f>
        <v/>
      </c>
      <c r="BR78" s="181" t="str">
        <f t="shared" si="11"/>
        <v/>
      </c>
      <c r="BS78" s="181" t="str">
        <f t="shared" si="11"/>
        <v/>
      </c>
      <c r="BT78" s="181" t="str">
        <f t="shared" si="11"/>
        <v/>
      </c>
      <c r="BU78" s="181" t="str">
        <f t="shared" si="11"/>
        <v/>
      </c>
      <c r="BV78" s="181" t="str">
        <f t="shared" si="11"/>
        <v/>
      </c>
      <c r="BW78" s="181" t="str">
        <f t="shared" si="11"/>
        <v/>
      </c>
      <c r="BX78" s="181" t="str">
        <f t="shared" si="11"/>
        <v/>
      </c>
      <c r="BY78" s="181" t="str">
        <f t="shared" si="11"/>
        <v/>
      </c>
      <c r="BZ78" s="181" t="str">
        <f t="shared" si="11"/>
        <v/>
      </c>
      <c r="CA78" s="181" t="str">
        <f t="shared" si="11"/>
        <v/>
      </c>
      <c r="CB78" s="181" t="str">
        <f t="shared" si="11"/>
        <v/>
      </c>
      <c r="CC78" s="181" t="str">
        <f t="shared" si="11"/>
        <v/>
      </c>
      <c r="CD78" s="181" t="str">
        <f t="shared" si="11"/>
        <v/>
      </c>
      <c r="CE78" s="181" t="str">
        <f t="shared" si="11"/>
        <v/>
      </c>
      <c r="CF78" s="181" t="str">
        <f t="shared" si="11"/>
        <v/>
      </c>
      <c r="CG78" s="181" t="str">
        <f t="shared" si="11"/>
        <v/>
      </c>
      <c r="CH78" s="181" t="str">
        <f t="shared" si="11"/>
        <v/>
      </c>
      <c r="CI78" s="181" t="str">
        <f t="shared" si="11"/>
        <v/>
      </c>
      <c r="CJ78" s="181" t="str">
        <f t="shared" si="11"/>
        <v/>
      </c>
      <c r="CK78" s="181" t="str">
        <f t="shared" si="11"/>
        <v/>
      </c>
      <c r="CL78" s="181" t="str">
        <f t="shared" si="11"/>
        <v/>
      </c>
      <c r="CM78" s="181" t="str">
        <f t="shared" si="11"/>
        <v/>
      </c>
      <c r="CN78" s="181" t="str">
        <f t="shared" si="11"/>
        <v/>
      </c>
      <c r="CO78" s="181" t="str">
        <f t="shared" si="11"/>
        <v/>
      </c>
      <c r="CP78" s="181" t="str">
        <f t="shared" si="11"/>
        <v/>
      </c>
      <c r="CQ78" s="181" t="str">
        <f t="shared" si="11"/>
        <v/>
      </c>
      <c r="CR78" s="181" t="str">
        <f t="shared" si="11"/>
        <v/>
      </c>
      <c r="CS78" s="181" t="str">
        <f t="shared" si="11"/>
        <v/>
      </c>
      <c r="CT78" s="181" t="str">
        <f t="shared" si="11"/>
        <v/>
      </c>
      <c r="CU78" s="181" t="str">
        <f t="shared" si="11"/>
        <v/>
      </c>
      <c r="CV78" s="181" t="str">
        <f t="shared" si="11"/>
        <v/>
      </c>
      <c r="CW78" s="181" t="str">
        <f t="shared" si="11"/>
        <v/>
      </c>
      <c r="CX78" s="181" t="str">
        <f t="shared" si="11"/>
        <v/>
      </c>
      <c r="CY78" s="181" t="str">
        <f t="shared" si="11"/>
        <v/>
      </c>
      <c r="CZ78" s="182">
        <f>IFERROR(SUM(E78:CY78)/SUMIF(E78:CY78,"&gt;=0",E15:CY15),"")</f>
        <v>0.64836716083900015</v>
      </c>
    </row>
    <row r="79" spans="1:105" s="175" customFormat="1" ht="18" x14ac:dyDescent="0.25">
      <c r="C79" s="1313"/>
      <c r="D79" s="173" t="s">
        <v>277</v>
      </c>
      <c r="E79" s="174">
        <f t="shared" ref="E79:AJ79" si="12">IFERROR(AVERAGE(E72:E73)*E15,"")</f>
        <v>3.8257724736017501E-3</v>
      </c>
      <c r="F79" s="174">
        <f t="shared" si="12"/>
        <v>7.2007404535484999E-4</v>
      </c>
      <c r="G79" s="174">
        <f t="shared" si="12"/>
        <v>0.11344876980714542</v>
      </c>
      <c r="H79" s="174">
        <f t="shared" si="12"/>
        <v>9.6232211366580819E-2</v>
      </c>
      <c r="I79" s="174">
        <f t="shared" si="12"/>
        <v>0.17346245916320924</v>
      </c>
      <c r="J79" s="174">
        <f t="shared" si="12"/>
        <v>9.1073501774769555E-2</v>
      </c>
      <c r="K79" s="174">
        <f t="shared" si="12"/>
        <v>0.17377171022678103</v>
      </c>
      <c r="L79" s="174" t="str">
        <f t="shared" si="12"/>
        <v/>
      </c>
      <c r="M79" s="174" t="str">
        <f t="shared" si="12"/>
        <v/>
      </c>
      <c r="N79" s="174" t="str">
        <f t="shared" si="12"/>
        <v/>
      </c>
      <c r="O79" s="174" t="str">
        <f t="shared" si="12"/>
        <v/>
      </c>
      <c r="P79" s="174" t="str">
        <f t="shared" si="12"/>
        <v/>
      </c>
      <c r="Q79" s="174" t="str">
        <f t="shared" si="12"/>
        <v/>
      </c>
      <c r="R79" s="174" t="str">
        <f t="shared" si="12"/>
        <v/>
      </c>
      <c r="S79" s="174" t="str">
        <f t="shared" si="12"/>
        <v/>
      </c>
      <c r="T79" s="174" t="str">
        <f t="shared" si="12"/>
        <v/>
      </c>
      <c r="U79" s="174" t="str">
        <f t="shared" si="12"/>
        <v/>
      </c>
      <c r="V79" s="174" t="str">
        <f t="shared" si="12"/>
        <v/>
      </c>
      <c r="W79" s="174" t="str">
        <f t="shared" si="12"/>
        <v/>
      </c>
      <c r="X79" s="174" t="str">
        <f t="shared" si="12"/>
        <v/>
      </c>
      <c r="Y79" s="174" t="str">
        <f t="shared" si="12"/>
        <v/>
      </c>
      <c r="Z79" s="174" t="str">
        <f t="shared" si="12"/>
        <v/>
      </c>
      <c r="AA79" s="174" t="str">
        <f t="shared" si="12"/>
        <v/>
      </c>
      <c r="AB79" s="174" t="str">
        <f t="shared" si="12"/>
        <v/>
      </c>
      <c r="AC79" s="174" t="str">
        <f t="shared" si="12"/>
        <v/>
      </c>
      <c r="AD79" s="174" t="str">
        <f t="shared" si="12"/>
        <v/>
      </c>
      <c r="AE79" s="174" t="str">
        <f t="shared" si="12"/>
        <v/>
      </c>
      <c r="AF79" s="174" t="str">
        <f t="shared" si="12"/>
        <v/>
      </c>
      <c r="AG79" s="174" t="str">
        <f t="shared" si="12"/>
        <v/>
      </c>
      <c r="AH79" s="174" t="str">
        <f t="shared" si="12"/>
        <v/>
      </c>
      <c r="AI79" s="174" t="str">
        <f t="shared" si="12"/>
        <v/>
      </c>
      <c r="AJ79" s="174" t="str">
        <f t="shared" si="12"/>
        <v/>
      </c>
      <c r="AK79" s="174" t="str">
        <f t="shared" ref="AK79:BP79" si="13">IFERROR(AVERAGE(AK72:AK73)*AK15,"")</f>
        <v/>
      </c>
      <c r="AL79" s="174" t="str">
        <f t="shared" si="13"/>
        <v/>
      </c>
      <c r="AM79" s="174" t="str">
        <f t="shared" si="13"/>
        <v/>
      </c>
      <c r="AN79" s="174" t="str">
        <f t="shared" si="13"/>
        <v/>
      </c>
      <c r="AO79" s="174" t="str">
        <f t="shared" si="13"/>
        <v/>
      </c>
      <c r="AP79" s="174" t="str">
        <f t="shared" si="13"/>
        <v/>
      </c>
      <c r="AQ79" s="174" t="str">
        <f t="shared" si="13"/>
        <v/>
      </c>
      <c r="AR79" s="174" t="str">
        <f t="shared" si="13"/>
        <v/>
      </c>
      <c r="AS79" s="174" t="str">
        <f t="shared" si="13"/>
        <v/>
      </c>
      <c r="AT79" s="174" t="str">
        <f t="shared" si="13"/>
        <v/>
      </c>
      <c r="AU79" s="174" t="str">
        <f t="shared" si="13"/>
        <v/>
      </c>
      <c r="AV79" s="174" t="str">
        <f t="shared" si="13"/>
        <v/>
      </c>
      <c r="AW79" s="174" t="str">
        <f t="shared" si="13"/>
        <v/>
      </c>
      <c r="AX79" s="174" t="str">
        <f t="shared" si="13"/>
        <v/>
      </c>
      <c r="AY79" s="174" t="str">
        <f t="shared" si="13"/>
        <v/>
      </c>
      <c r="AZ79" s="174" t="str">
        <f t="shared" si="13"/>
        <v/>
      </c>
      <c r="BA79" s="174" t="str">
        <f t="shared" si="13"/>
        <v/>
      </c>
      <c r="BB79" s="174" t="str">
        <f t="shared" si="13"/>
        <v/>
      </c>
      <c r="BC79" s="174" t="str">
        <f t="shared" si="13"/>
        <v/>
      </c>
      <c r="BD79" s="174" t="str">
        <f t="shared" si="13"/>
        <v/>
      </c>
      <c r="BE79" s="174" t="str">
        <f t="shared" si="13"/>
        <v/>
      </c>
      <c r="BF79" s="174" t="str">
        <f t="shared" si="13"/>
        <v/>
      </c>
      <c r="BG79" s="174" t="str">
        <f t="shared" si="13"/>
        <v/>
      </c>
      <c r="BH79" s="174" t="str">
        <f t="shared" si="13"/>
        <v/>
      </c>
      <c r="BI79" s="174" t="str">
        <f t="shared" si="13"/>
        <v/>
      </c>
      <c r="BJ79" s="174" t="str">
        <f t="shared" si="13"/>
        <v/>
      </c>
      <c r="BK79" s="174" t="str">
        <f t="shared" si="13"/>
        <v/>
      </c>
      <c r="BL79" s="174" t="str">
        <f t="shared" si="13"/>
        <v/>
      </c>
      <c r="BM79" s="174" t="str">
        <f t="shared" si="13"/>
        <v/>
      </c>
      <c r="BN79" s="174" t="str">
        <f t="shared" si="13"/>
        <v/>
      </c>
      <c r="BO79" s="174" t="str">
        <f t="shared" si="13"/>
        <v/>
      </c>
      <c r="BP79" s="174" t="str">
        <f t="shared" si="13"/>
        <v/>
      </c>
      <c r="BQ79" s="174" t="str">
        <f t="shared" ref="BQ79:CY79" si="14">IFERROR(AVERAGE(BQ72:BQ73)*BQ15,"")</f>
        <v/>
      </c>
      <c r="BR79" s="174" t="str">
        <f t="shared" si="14"/>
        <v/>
      </c>
      <c r="BS79" s="174" t="str">
        <f t="shared" si="14"/>
        <v/>
      </c>
      <c r="BT79" s="174" t="str">
        <f t="shared" si="14"/>
        <v/>
      </c>
      <c r="BU79" s="174" t="str">
        <f t="shared" si="14"/>
        <v/>
      </c>
      <c r="BV79" s="174" t="str">
        <f t="shared" si="14"/>
        <v/>
      </c>
      <c r="BW79" s="174" t="str">
        <f t="shared" si="14"/>
        <v/>
      </c>
      <c r="BX79" s="174" t="str">
        <f t="shared" si="14"/>
        <v/>
      </c>
      <c r="BY79" s="174" t="str">
        <f t="shared" si="14"/>
        <v/>
      </c>
      <c r="BZ79" s="174" t="str">
        <f t="shared" si="14"/>
        <v/>
      </c>
      <c r="CA79" s="174" t="str">
        <f t="shared" si="14"/>
        <v/>
      </c>
      <c r="CB79" s="174" t="str">
        <f t="shared" si="14"/>
        <v/>
      </c>
      <c r="CC79" s="174" t="str">
        <f t="shared" si="14"/>
        <v/>
      </c>
      <c r="CD79" s="174" t="str">
        <f t="shared" si="14"/>
        <v/>
      </c>
      <c r="CE79" s="174" t="str">
        <f t="shared" si="14"/>
        <v/>
      </c>
      <c r="CF79" s="174" t="str">
        <f t="shared" si="14"/>
        <v/>
      </c>
      <c r="CG79" s="174" t="str">
        <f t="shared" si="14"/>
        <v/>
      </c>
      <c r="CH79" s="174" t="str">
        <f t="shared" si="14"/>
        <v/>
      </c>
      <c r="CI79" s="174" t="str">
        <f t="shared" si="14"/>
        <v/>
      </c>
      <c r="CJ79" s="174" t="str">
        <f t="shared" si="14"/>
        <v/>
      </c>
      <c r="CK79" s="174" t="str">
        <f t="shared" si="14"/>
        <v/>
      </c>
      <c r="CL79" s="174" t="str">
        <f t="shared" si="14"/>
        <v/>
      </c>
      <c r="CM79" s="174" t="str">
        <f t="shared" si="14"/>
        <v/>
      </c>
      <c r="CN79" s="174" t="str">
        <f t="shared" si="14"/>
        <v/>
      </c>
      <c r="CO79" s="174" t="str">
        <f t="shared" si="14"/>
        <v/>
      </c>
      <c r="CP79" s="174" t="str">
        <f t="shared" si="14"/>
        <v/>
      </c>
      <c r="CQ79" s="174" t="str">
        <f t="shared" si="14"/>
        <v/>
      </c>
      <c r="CR79" s="174" t="str">
        <f t="shared" si="14"/>
        <v/>
      </c>
      <c r="CS79" s="174" t="str">
        <f t="shared" si="14"/>
        <v/>
      </c>
      <c r="CT79" s="174" t="str">
        <f t="shared" si="14"/>
        <v/>
      </c>
      <c r="CU79" s="174" t="str">
        <f t="shared" si="14"/>
        <v/>
      </c>
      <c r="CV79" s="174" t="str">
        <f t="shared" si="14"/>
        <v/>
      </c>
      <c r="CW79" s="174" t="str">
        <f t="shared" si="14"/>
        <v/>
      </c>
      <c r="CX79" s="174" t="str">
        <f t="shared" si="14"/>
        <v/>
      </c>
      <c r="CY79" s="174" t="str">
        <f t="shared" si="14"/>
        <v/>
      </c>
      <c r="CZ79" s="182">
        <f>IFERROR(AVERAGE(CZ76:CZ78),"")</f>
        <v>0.65114538618462847</v>
      </c>
    </row>
    <row r="80" spans="1:105" s="186" customFormat="1" ht="15" x14ac:dyDescent="0.25">
      <c r="C80" s="1319"/>
      <c r="D80" s="183"/>
      <c r="E80" s="184"/>
      <c r="F80" s="184"/>
      <c r="G80" s="184"/>
      <c r="H80" s="184"/>
      <c r="I80" s="184"/>
      <c r="J80" s="184"/>
      <c r="K80" s="184"/>
      <c r="L80" s="184"/>
      <c r="M80" s="184"/>
      <c r="N80" s="184"/>
      <c r="O80" s="184"/>
      <c r="P80" s="184"/>
      <c r="Q80" s="184"/>
      <c r="R80" s="184"/>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row>
    <row r="81" spans="1:104" s="179" customFormat="1" ht="29.25" customHeight="1" x14ac:dyDescent="0.25">
      <c r="B81" s="2656"/>
      <c r="C81" s="2656"/>
      <c r="D81" s="2656"/>
      <c r="E81" s="187"/>
      <c r="F81" s="187"/>
      <c r="G81" s="187"/>
      <c r="H81" s="187"/>
      <c r="I81" s="187"/>
      <c r="J81" s="187"/>
      <c r="K81" s="187"/>
      <c r="L81" s="187"/>
      <c r="M81" s="187"/>
      <c r="N81" s="187"/>
      <c r="O81" s="187"/>
      <c r="P81" s="187"/>
      <c r="Q81" s="187"/>
      <c r="R81" s="187"/>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188"/>
      <c r="AZ81" s="188"/>
      <c r="BA81" s="188"/>
      <c r="BB81" s="188"/>
      <c r="BC81" s="188"/>
      <c r="BD81" s="188"/>
      <c r="BE81" s="188"/>
    </row>
    <row r="82" spans="1:104" s="179" customFormat="1" x14ac:dyDescent="0.25">
      <c r="C82" s="180"/>
      <c r="E82" s="1022"/>
      <c r="F82" s="1022"/>
      <c r="G82" s="1022"/>
      <c r="H82" s="1022"/>
      <c r="I82" s="1022"/>
      <c r="J82" s="1022"/>
      <c r="K82" s="1022"/>
      <c r="L82" s="1022"/>
      <c r="M82" s="1022"/>
      <c r="N82" s="1022"/>
      <c r="O82" s="1022"/>
      <c r="P82" s="1022"/>
      <c r="Q82" s="1022"/>
      <c r="R82" s="1022"/>
      <c r="S82" s="1023"/>
      <c r="T82" s="1023"/>
      <c r="U82" s="1023"/>
      <c r="V82" s="1023"/>
      <c r="W82" s="1023"/>
      <c r="X82" s="1023"/>
      <c r="Y82" s="1023"/>
      <c r="Z82" s="1023"/>
      <c r="AA82" s="1023"/>
      <c r="AB82" s="1023"/>
      <c r="AC82" s="1023"/>
      <c r="AD82" s="1023"/>
      <c r="AE82" s="1023"/>
      <c r="AF82" s="1023"/>
      <c r="AG82" s="1023"/>
      <c r="AH82" s="1023"/>
      <c r="AI82" s="1023"/>
      <c r="AJ82" s="1023"/>
      <c r="AK82" s="1023"/>
      <c r="AL82" s="1023"/>
      <c r="AM82" s="1023"/>
      <c r="AN82" s="1023"/>
      <c r="AO82" s="1023"/>
      <c r="AP82" s="1023"/>
      <c r="AQ82" s="1023"/>
      <c r="AR82" s="1023"/>
      <c r="AS82" s="1023"/>
      <c r="AT82" s="1023"/>
      <c r="AU82" s="1023"/>
      <c r="AV82" s="1023"/>
      <c r="AW82" s="1023"/>
      <c r="AX82" s="1023"/>
      <c r="AY82" s="1023"/>
      <c r="AZ82" s="1023"/>
      <c r="BA82" s="1023"/>
      <c r="BB82" s="1023"/>
      <c r="BC82" s="1023"/>
      <c r="BD82" s="1023"/>
      <c r="BE82" s="1023"/>
    </row>
    <row r="83" spans="1:104" ht="18" hidden="1" x14ac:dyDescent="0.25">
      <c r="G83" s="91"/>
      <c r="H83" s="65"/>
      <c r="I83" s="65"/>
      <c r="J83" s="65"/>
      <c r="CZ83" s="169" t="str">
        <f>IFERROR((E83*$E$15+F83*$F$15+G83*$G$15+H83*$H$15+I83*$I$15+#REF!*#REF!/SUMIF(E83:CY83,"&gt;0",E24:CY24)),"")</f>
        <v/>
      </c>
    </row>
    <row r="84" spans="1:104" hidden="1" x14ac:dyDescent="0.25">
      <c r="G84" s="91"/>
      <c r="H84" s="65"/>
      <c r="I84" s="65"/>
      <c r="J84" s="65"/>
      <c r="L84" s="65"/>
    </row>
    <row r="85" spans="1:104" hidden="1" x14ac:dyDescent="0.25">
      <c r="D85" s="1024"/>
      <c r="G85" s="91"/>
      <c r="H85" s="65"/>
      <c r="I85" s="65"/>
      <c r="J85" s="65"/>
    </row>
    <row r="86" spans="1:104" hidden="1" x14ac:dyDescent="0.25"/>
    <row r="87" spans="1:104" hidden="1" x14ac:dyDescent="0.25"/>
    <row r="88" spans="1:104" hidden="1" x14ac:dyDescent="0.25"/>
    <row r="89" spans="1:104" hidden="1" x14ac:dyDescent="0.25">
      <c r="F89" s="190"/>
    </row>
    <row r="90" spans="1:104" hidden="1" x14ac:dyDescent="0.25">
      <c r="F90" s="190"/>
      <c r="G90" s="65"/>
      <c r="H90" s="65"/>
      <c r="I90" s="191"/>
      <c r="J90" s="191"/>
    </row>
    <row r="91" spans="1:104" ht="15" hidden="1" x14ac:dyDescent="0.25">
      <c r="B91" s="1025"/>
      <c r="F91" s="190"/>
      <c r="G91" s="93"/>
      <c r="H91" s="65"/>
      <c r="I91" s="191"/>
      <c r="J91" s="191"/>
    </row>
    <row r="92" spans="1:104" ht="15" hidden="1" x14ac:dyDescent="0.25">
      <c r="A92" s="200"/>
      <c r="B92" s="1026" t="s">
        <v>172</v>
      </c>
      <c r="C92" s="200"/>
      <c r="D92" s="200"/>
      <c r="E92" s="201"/>
      <c r="F92" s="202"/>
      <c r="G92" s="191"/>
      <c r="H92" s="191"/>
      <c r="I92" s="191"/>
      <c r="J92" s="191"/>
      <c r="K92" s="2657" t="s">
        <v>278</v>
      </c>
      <c r="L92" s="2657"/>
      <c r="M92" s="2657"/>
      <c r="N92" s="2657"/>
      <c r="O92" s="2657"/>
      <c r="P92" s="2657"/>
      <c r="Q92" s="2657"/>
    </row>
    <row r="93" spans="1:104" ht="15" hidden="1" x14ac:dyDescent="0.2">
      <c r="A93" s="200"/>
      <c r="B93" s="1026" t="s">
        <v>279</v>
      </c>
      <c r="C93" s="200"/>
      <c r="D93" s="200"/>
      <c r="E93" s="201"/>
      <c r="F93" s="201"/>
      <c r="G93" s="201"/>
      <c r="H93" s="201"/>
      <c r="I93" s="201"/>
      <c r="J93" s="201"/>
      <c r="K93" s="29"/>
      <c r="L93" s="2658" t="s">
        <v>280</v>
      </c>
      <c r="M93" s="2658"/>
      <c r="N93" s="2658"/>
      <c r="O93" s="2658"/>
      <c r="P93" s="2658"/>
      <c r="Q93" s="2658"/>
    </row>
    <row r="94" spans="1:104" ht="15" hidden="1" x14ac:dyDescent="0.25">
      <c r="A94" s="200"/>
      <c r="B94" s="1026" t="s">
        <v>281</v>
      </c>
      <c r="C94" s="200"/>
      <c r="D94" s="200"/>
      <c r="E94" s="201"/>
      <c r="F94" s="2659" t="s">
        <v>280</v>
      </c>
      <c r="G94" s="2660"/>
      <c r="H94" s="2661"/>
      <c r="I94" s="1027"/>
      <c r="J94" s="201"/>
      <c r="K94" s="1028"/>
      <c r="L94" s="2662" t="s">
        <v>164</v>
      </c>
      <c r="M94" s="2662"/>
      <c r="N94" s="2663" t="s">
        <v>165</v>
      </c>
      <c r="O94" s="2663"/>
      <c r="P94" s="2664" t="s">
        <v>166</v>
      </c>
      <c r="Q94" s="2664"/>
    </row>
    <row r="95" spans="1:104" ht="15" hidden="1" x14ac:dyDescent="0.25">
      <c r="A95" s="200"/>
      <c r="B95" s="203"/>
      <c r="C95" s="200"/>
      <c r="D95" s="200"/>
      <c r="E95" s="1029" t="s">
        <v>199</v>
      </c>
      <c r="F95" s="1030" t="s">
        <v>164</v>
      </c>
      <c r="G95" s="1030" t="s">
        <v>165</v>
      </c>
      <c r="H95" s="1031" t="s">
        <v>166</v>
      </c>
      <c r="I95" s="1032" t="s">
        <v>282</v>
      </c>
      <c r="J95" s="201"/>
      <c r="K95" s="1029" t="s">
        <v>199</v>
      </c>
      <c r="L95" s="1033" t="s">
        <v>283</v>
      </c>
      <c r="M95" s="1033" t="s">
        <v>284</v>
      </c>
      <c r="N95" s="1034" t="s">
        <v>283</v>
      </c>
      <c r="O95" s="1034" t="s">
        <v>284</v>
      </c>
      <c r="P95" s="1035" t="s">
        <v>283</v>
      </c>
      <c r="Q95" s="1035" t="s">
        <v>284</v>
      </c>
    </row>
    <row r="96" spans="1:104" hidden="1" x14ac:dyDescent="0.25">
      <c r="A96" s="200"/>
      <c r="B96" s="203"/>
      <c r="C96" s="200"/>
      <c r="D96" s="200"/>
      <c r="E96" s="1036" t="s">
        <v>285</v>
      </c>
      <c r="F96" s="1037">
        <v>0</v>
      </c>
      <c r="G96" s="1037">
        <v>0</v>
      </c>
      <c r="H96" s="1037">
        <v>0</v>
      </c>
      <c r="I96" s="1032" t="s">
        <v>285</v>
      </c>
      <c r="J96" s="201"/>
      <c r="K96" s="1036" t="s">
        <v>287</v>
      </c>
      <c r="L96" s="1038">
        <v>1</v>
      </c>
      <c r="M96" s="1039">
        <v>0.7</v>
      </c>
      <c r="N96" s="1040">
        <v>1</v>
      </c>
      <c r="O96" s="1041">
        <f>ParaminMedia</f>
        <v>0.75</v>
      </c>
      <c r="P96" s="1042">
        <v>1</v>
      </c>
      <c r="Q96" s="1043">
        <f>ParaminAlta</f>
        <v>0.8</v>
      </c>
    </row>
    <row r="97" spans="1:17" hidden="1" x14ac:dyDescent="0.25">
      <c r="A97" s="200"/>
      <c r="B97" s="200"/>
      <c r="C97" s="200"/>
      <c r="D97" s="200"/>
      <c r="E97" s="1044" t="s">
        <v>288</v>
      </c>
      <c r="F97" s="1037">
        <f>F98-5%</f>
        <v>0.64999999999999991</v>
      </c>
      <c r="G97" s="1037">
        <f>G98-5%</f>
        <v>0.7</v>
      </c>
      <c r="H97" s="1037">
        <f>H98-5%</f>
        <v>0.75</v>
      </c>
      <c r="I97" s="1032" t="s">
        <v>288</v>
      </c>
      <c r="J97" s="201"/>
      <c r="K97" s="1044" t="s">
        <v>289</v>
      </c>
      <c r="L97" s="1045">
        <v>0.69989999999999997</v>
      </c>
      <c r="M97" s="1039">
        <v>0.65</v>
      </c>
      <c r="N97" s="1046">
        <v>0.74990000000000001</v>
      </c>
      <c r="O97" s="1041">
        <v>0.7</v>
      </c>
      <c r="P97" s="1047">
        <v>0.79990000000000006</v>
      </c>
      <c r="Q97" s="1043">
        <v>0.75</v>
      </c>
    </row>
    <row r="98" spans="1:17" hidden="1" x14ac:dyDescent="0.25">
      <c r="A98" s="200"/>
      <c r="B98" s="200"/>
      <c r="C98" s="200"/>
      <c r="D98" s="200"/>
      <c r="E98" s="1036" t="s">
        <v>290</v>
      </c>
      <c r="F98" s="1037">
        <f>ParaminBaja</f>
        <v>0.7</v>
      </c>
      <c r="G98" s="1037">
        <f>ParaminMedia</f>
        <v>0.75</v>
      </c>
      <c r="H98" s="1037">
        <f>ParaminAlta</f>
        <v>0.8</v>
      </c>
      <c r="I98" s="1032" t="s">
        <v>290</v>
      </c>
      <c r="J98" s="201"/>
      <c r="K98" s="1036" t="s">
        <v>286</v>
      </c>
      <c r="L98" s="1045">
        <v>0.64990000000000003</v>
      </c>
      <c r="M98" s="1039">
        <v>0</v>
      </c>
      <c r="N98" s="1046">
        <v>0.69989999999999997</v>
      </c>
      <c r="O98" s="1041">
        <v>0</v>
      </c>
      <c r="P98" s="1047">
        <v>0.74990000000000001</v>
      </c>
      <c r="Q98" s="1043">
        <v>0</v>
      </c>
    </row>
    <row r="99" spans="1:17" ht="17.25" hidden="1" customHeight="1" x14ac:dyDescent="0.25">
      <c r="A99" s="200"/>
      <c r="B99" s="200"/>
      <c r="C99" s="200"/>
      <c r="D99" s="200"/>
      <c r="E99" s="201"/>
      <c r="F99" s="201"/>
      <c r="G99" s="201"/>
      <c r="H99" s="201"/>
      <c r="I99" s="201"/>
      <c r="J99" s="201"/>
      <c r="K99" s="201"/>
      <c r="L99" s="201"/>
      <c r="M99" s="201"/>
      <c r="N99" s="201"/>
      <c r="O99" s="201"/>
      <c r="P99" s="201"/>
      <c r="Q99" s="201"/>
    </row>
    <row r="100" spans="1:17" ht="15" hidden="1" thickBot="1" x14ac:dyDescent="0.3">
      <c r="A100" s="200"/>
      <c r="B100" s="200"/>
      <c r="C100" s="200"/>
      <c r="D100" s="200"/>
      <c r="E100" s="201"/>
      <c r="F100" s="1048"/>
      <c r="G100" s="2665" t="s">
        <v>456</v>
      </c>
      <c r="H100" s="2666"/>
      <c r="I100" s="2667"/>
      <c r="J100" s="191"/>
      <c r="K100" s="201"/>
      <c r="L100" s="201"/>
      <c r="M100" s="201"/>
      <c r="N100" s="201"/>
      <c r="O100" s="201"/>
      <c r="P100" s="201"/>
      <c r="Q100" s="201"/>
    </row>
    <row r="101" spans="1:17" ht="26.25" hidden="1" thickBot="1" x14ac:dyDescent="0.3">
      <c r="A101" s="200"/>
      <c r="B101" s="200"/>
      <c r="C101" s="200"/>
      <c r="D101" s="200"/>
      <c r="E101" s="201"/>
      <c r="F101" s="1049" t="s">
        <v>291</v>
      </c>
      <c r="G101" s="1050" t="s">
        <v>164</v>
      </c>
      <c r="H101" s="1050" t="s">
        <v>165</v>
      </c>
      <c r="I101" s="1051" t="s">
        <v>166</v>
      </c>
      <c r="J101" s="201"/>
      <c r="K101" s="201"/>
      <c r="L101" s="201"/>
      <c r="M101" s="201"/>
      <c r="N101" s="201"/>
      <c r="O101" s="201"/>
      <c r="P101" s="201"/>
      <c r="Q101" s="201"/>
    </row>
    <row r="102" spans="1:17" ht="20.25" hidden="1" customHeight="1" thickBot="1" x14ac:dyDescent="0.3">
      <c r="A102" s="200"/>
      <c r="B102" s="200"/>
      <c r="C102" s="200"/>
      <c r="D102" s="200"/>
      <c r="E102" s="2668" t="s">
        <v>292</v>
      </c>
      <c r="F102" s="1052" t="s">
        <v>293</v>
      </c>
      <c r="G102" s="1053">
        <v>0.7</v>
      </c>
      <c r="H102" s="1053">
        <v>0.7</v>
      </c>
      <c r="I102" s="1053">
        <v>0.7</v>
      </c>
      <c r="J102" s="201"/>
      <c r="K102" s="201"/>
      <c r="L102" s="201"/>
      <c r="M102" s="201"/>
      <c r="N102" s="201"/>
      <c r="O102" s="201"/>
      <c r="P102" s="201"/>
      <c r="Q102" s="201"/>
    </row>
    <row r="103" spans="1:17" ht="26.25" hidden="1" thickBot="1" x14ac:dyDescent="0.3">
      <c r="A103" s="200"/>
      <c r="B103" s="202"/>
      <c r="C103" s="202"/>
      <c r="D103" s="202"/>
      <c r="E103" s="2669"/>
      <c r="F103" s="1052" t="s">
        <v>294</v>
      </c>
      <c r="G103" s="1053">
        <v>0.7</v>
      </c>
      <c r="H103" s="1053">
        <v>0.7</v>
      </c>
      <c r="I103" s="1053">
        <v>0.7</v>
      </c>
      <c r="J103" s="201"/>
      <c r="K103" s="1054"/>
      <c r="L103" s="201"/>
      <c r="M103" s="201"/>
      <c r="N103" s="201"/>
      <c r="O103" s="201"/>
      <c r="P103" s="201"/>
      <c r="Q103" s="201"/>
    </row>
    <row r="104" spans="1:17" ht="29.25" hidden="1" customHeight="1" thickBot="1" x14ac:dyDescent="0.3">
      <c r="A104" s="200"/>
      <c r="B104" s="202"/>
      <c r="C104" s="202"/>
      <c r="D104" s="202"/>
      <c r="E104" s="2669"/>
      <c r="F104" s="1052" t="s">
        <v>295</v>
      </c>
      <c r="G104" s="1053">
        <v>0.7</v>
      </c>
      <c r="H104" s="1053">
        <v>0.7</v>
      </c>
      <c r="I104" s="1053">
        <v>0.7</v>
      </c>
      <c r="J104" s="201"/>
      <c r="K104" s="1055"/>
      <c r="L104" s="201"/>
      <c r="M104" s="201"/>
      <c r="N104" s="201"/>
      <c r="O104" s="201"/>
      <c r="P104" s="201"/>
      <c r="Q104" s="201"/>
    </row>
    <row r="105" spans="1:17" ht="26.25" hidden="1" thickBot="1" x14ac:dyDescent="0.3">
      <c r="A105" s="200"/>
      <c r="B105" s="202"/>
      <c r="C105" s="202"/>
      <c r="D105" s="202"/>
      <c r="E105" s="2670"/>
      <c r="F105" s="1052" t="s">
        <v>297</v>
      </c>
      <c r="G105" s="1053">
        <v>0.7</v>
      </c>
      <c r="H105" s="1053">
        <v>0.7</v>
      </c>
      <c r="I105" s="1053">
        <v>0.7</v>
      </c>
      <c r="J105" s="201"/>
      <c r="K105" s="1055"/>
      <c r="L105" s="201"/>
      <c r="M105" s="201"/>
      <c r="N105" s="201"/>
      <c r="O105" s="201"/>
      <c r="P105" s="201"/>
      <c r="Q105" s="201"/>
    </row>
    <row r="106" spans="1:17" ht="15" hidden="1" thickBot="1" x14ac:dyDescent="0.3">
      <c r="A106" s="200"/>
      <c r="B106" s="200"/>
      <c r="C106" s="202"/>
      <c r="D106" s="202"/>
      <c r="E106" s="2654" t="s">
        <v>296</v>
      </c>
      <c r="F106" s="1052" t="s">
        <v>201</v>
      </c>
      <c r="G106" s="1053">
        <v>0.8</v>
      </c>
      <c r="H106" s="1053">
        <v>0.8</v>
      </c>
      <c r="I106" s="1053">
        <v>0.8</v>
      </c>
      <c r="J106" s="201"/>
      <c r="K106" s="201"/>
      <c r="L106" s="201"/>
      <c r="M106" s="201"/>
      <c r="N106" s="201"/>
      <c r="O106" s="201"/>
      <c r="P106" s="201"/>
      <c r="Q106" s="201"/>
    </row>
    <row r="107" spans="1:17" ht="26.25" hidden="1" thickBot="1" x14ac:dyDescent="0.3">
      <c r="A107" s="200"/>
      <c r="B107" s="200"/>
      <c r="C107" s="203"/>
      <c r="D107" s="200"/>
      <c r="E107" s="2655"/>
      <c r="F107" s="1052" t="s">
        <v>298</v>
      </c>
      <c r="G107" s="1053">
        <v>0.8</v>
      </c>
      <c r="H107" s="1053">
        <v>0.8</v>
      </c>
      <c r="I107" s="1053">
        <v>0.8</v>
      </c>
      <c r="J107" s="201"/>
      <c r="K107" s="201"/>
      <c r="L107" s="201"/>
      <c r="M107" s="201"/>
      <c r="N107" s="201"/>
      <c r="O107" s="201"/>
      <c r="P107" s="201"/>
      <c r="Q107" s="201"/>
    </row>
    <row r="108" spans="1:17" ht="15" hidden="1" thickBot="1" x14ac:dyDescent="0.3">
      <c r="A108" s="200"/>
      <c r="B108" s="200"/>
      <c r="C108" s="203"/>
      <c r="D108" s="200"/>
      <c r="E108" s="2655"/>
      <c r="F108" s="1052" t="s">
        <v>203</v>
      </c>
      <c r="G108" s="1053">
        <v>0.8</v>
      </c>
      <c r="H108" s="1053">
        <v>0.8</v>
      </c>
      <c r="I108" s="1053">
        <v>0.8</v>
      </c>
      <c r="J108" s="201"/>
      <c r="K108" s="201"/>
      <c r="L108" s="201"/>
      <c r="M108" s="201"/>
      <c r="N108" s="201"/>
      <c r="O108" s="201"/>
      <c r="P108" s="201"/>
      <c r="Q108" s="201"/>
    </row>
    <row r="109" spans="1:17" ht="15" hidden="1" thickBot="1" x14ac:dyDescent="0.3">
      <c r="A109" s="200"/>
      <c r="B109" s="200"/>
      <c r="C109" s="203"/>
      <c r="D109" s="200"/>
      <c r="E109" s="2655"/>
      <c r="F109" s="1052" t="s">
        <v>204</v>
      </c>
      <c r="G109" s="1053">
        <v>0.9</v>
      </c>
      <c r="H109" s="1053">
        <v>0.9</v>
      </c>
      <c r="I109" s="1053">
        <v>0.9</v>
      </c>
      <c r="J109" s="201"/>
      <c r="K109" s="201"/>
      <c r="L109" s="201"/>
      <c r="M109" s="201"/>
      <c r="N109" s="201"/>
      <c r="O109" s="201"/>
      <c r="P109" s="201"/>
      <c r="Q109" s="201"/>
    </row>
    <row r="110" spans="1:17" hidden="1" x14ac:dyDescent="0.25">
      <c r="A110" s="200"/>
      <c r="B110" s="200"/>
      <c r="C110" s="203"/>
      <c r="D110" s="200"/>
      <c r="E110" s="2655"/>
      <c r="F110" s="1056" t="s">
        <v>202</v>
      </c>
      <c r="G110" s="1057">
        <v>1</v>
      </c>
      <c r="H110" s="1057">
        <v>1</v>
      </c>
      <c r="I110" s="1057">
        <v>1</v>
      </c>
      <c r="J110" s="201"/>
      <c r="K110" s="201"/>
      <c r="L110" s="201"/>
      <c r="M110" s="201"/>
      <c r="N110" s="201"/>
      <c r="O110" s="201"/>
      <c r="P110" s="201"/>
      <c r="Q110" s="201"/>
    </row>
    <row r="111" spans="1:17" hidden="1" x14ac:dyDescent="0.25">
      <c r="I111" s="1058"/>
    </row>
    <row r="112" spans="1:17" hidden="1" x14ac:dyDescent="0.25"/>
    <row r="113" spans="5:5" hidden="1" x14ac:dyDescent="0.25"/>
    <row r="114" spans="5:5" hidden="1" x14ac:dyDescent="0.25"/>
    <row r="115" spans="5:5" hidden="1" x14ac:dyDescent="0.25">
      <c r="E115" s="159" t="s">
        <v>186</v>
      </c>
    </row>
    <row r="116" spans="5:5" hidden="1" x14ac:dyDescent="0.25">
      <c r="E116" s="159" t="s">
        <v>192</v>
      </c>
    </row>
    <row r="117" spans="5:5" ht="15" hidden="1" thickBot="1" x14ac:dyDescent="0.3">
      <c r="E117" s="164" t="s">
        <v>194</v>
      </c>
    </row>
    <row r="118" spans="5:5" hidden="1" x14ac:dyDescent="0.25"/>
    <row r="119" spans="5:5" hidden="1" x14ac:dyDescent="0.25"/>
    <row r="120" spans="5:5" hidden="1" x14ac:dyDescent="0.25"/>
    <row r="121" spans="5:5" hidden="1" x14ac:dyDescent="0.25"/>
    <row r="122" spans="5:5" hidden="1" x14ac:dyDescent="0.25"/>
    <row r="123" spans="5:5" hidden="1" x14ac:dyDescent="0.25"/>
    <row r="124" spans="5:5" hidden="1" x14ac:dyDescent="0.25"/>
    <row r="125" spans="5:5" hidden="1" x14ac:dyDescent="0.25"/>
    <row r="126" spans="5:5" hidden="1" x14ac:dyDescent="0.25"/>
    <row r="127" spans="5:5" hidden="1" x14ac:dyDescent="0.25"/>
    <row r="128" spans="5:5" hidden="1" x14ac:dyDescent="0.25"/>
    <row r="129" hidden="1" x14ac:dyDescent="0.25"/>
    <row r="65297" spans="4:4" x14ac:dyDescent="0.25">
      <c r="D65297" s="192"/>
    </row>
    <row r="65371" spans="1:5" x14ac:dyDescent="0.25">
      <c r="A65371" s="159" t="s">
        <v>186</v>
      </c>
      <c r="B65371" s="200"/>
      <c r="C65371" s="203"/>
      <c r="D65371" s="200"/>
      <c r="E65371" s="201"/>
    </row>
    <row r="65372" spans="1:5" x14ac:dyDescent="0.25">
      <c r="A65372" s="159" t="s">
        <v>192</v>
      </c>
      <c r="B65372" s="200"/>
      <c r="C65372" s="203"/>
      <c r="D65372" s="200"/>
      <c r="E65372" s="201"/>
    </row>
    <row r="65373" spans="1:5" ht="15" thickBot="1" x14ac:dyDescent="0.3">
      <c r="A65373" s="164" t="s">
        <v>194</v>
      </c>
      <c r="B65373" s="200"/>
      <c r="C65373" s="203"/>
      <c r="D65373" s="200"/>
      <c r="E65373" s="201"/>
    </row>
    <row r="65374" spans="1:5" x14ac:dyDescent="0.25">
      <c r="A65374" s="200"/>
      <c r="B65374" s="200"/>
      <c r="C65374" s="203"/>
      <c r="D65374" s="200"/>
      <c r="E65374" s="201"/>
    </row>
    <row r="65375" spans="1:5" x14ac:dyDescent="0.25">
      <c r="A65375" s="204"/>
      <c r="B65375" s="205"/>
      <c r="C65375" s="203"/>
      <c r="D65375" s="200"/>
      <c r="E65375" s="201"/>
    </row>
    <row r="65376" spans="1:5" x14ac:dyDescent="0.25">
      <c r="A65376" s="206"/>
      <c r="B65376" s="205"/>
      <c r="C65376" s="203"/>
      <c r="D65376" s="200"/>
      <c r="E65376" s="201"/>
    </row>
    <row r="65377" spans="1:5" x14ac:dyDescent="0.25">
      <c r="A65377" s="206"/>
      <c r="B65377" s="205"/>
      <c r="C65377" s="203"/>
      <c r="D65377" s="200"/>
      <c r="E65377" s="201"/>
    </row>
    <row r="65378" spans="1:5" x14ac:dyDescent="0.25">
      <c r="A65378" s="207" t="s">
        <v>299</v>
      </c>
      <c r="B65378" s="205"/>
      <c r="C65378" s="203"/>
      <c r="D65378" s="200"/>
      <c r="E65378" s="201"/>
    </row>
    <row r="65379" spans="1:5" ht="25.5" x14ac:dyDescent="0.25">
      <c r="A65379" s="207" t="s">
        <v>300</v>
      </c>
      <c r="B65379" s="205"/>
      <c r="C65379" s="208" t="s">
        <v>301</v>
      </c>
      <c r="D65379" s="209" t="s">
        <v>302</v>
      </c>
      <c r="E65379" s="210" t="s">
        <v>303</v>
      </c>
    </row>
    <row r="65380" spans="1:5" ht="25.5" x14ac:dyDescent="0.25">
      <c r="A65380" s="211" t="s">
        <v>304</v>
      </c>
      <c r="B65380" s="205"/>
      <c r="C65380" s="212">
        <v>100000</v>
      </c>
      <c r="D65380" s="213" t="s">
        <v>305</v>
      </c>
      <c r="E65380" s="202" t="str">
        <f>CONCATENATE(Dependencias[[#This Row],[CÓDIGO]]," - ",Dependencias[[#This Row],[DEPENDENCIA]])</f>
        <v xml:space="preserve">100000 - DIRECCIÓN SECTOR SALUD </v>
      </c>
    </row>
    <row r="65381" spans="1:5" x14ac:dyDescent="0.25">
      <c r="A65381" s="211" t="s">
        <v>306</v>
      </c>
      <c r="B65381" s="205"/>
      <c r="C65381" s="214">
        <v>110000</v>
      </c>
      <c r="D65381" s="215" t="s">
        <v>307</v>
      </c>
      <c r="E65381" s="202" t="str">
        <f>CONCATENATE(Dependencias[[#This Row],[CÓDIGO]]," - ",Dependencias[[#This Row],[DEPENDENCIA]])</f>
        <v xml:space="preserve">110000 - DIRECCIÓN SECTOR GOBIERNO </v>
      </c>
    </row>
    <row r="65382" spans="1:5" x14ac:dyDescent="0.25">
      <c r="A65382" s="211" t="s">
        <v>308</v>
      </c>
      <c r="B65382" s="205"/>
      <c r="C65382" s="212">
        <v>12000</v>
      </c>
      <c r="D65382" s="213" t="s">
        <v>309</v>
      </c>
      <c r="E65382" s="202" t="str">
        <f>CONCATENATE(Dependencias[[#This Row],[CÓDIGO]]," - ",Dependencias[[#This Row],[DEPENDENCIA]])</f>
        <v xml:space="preserve">12000 - DIRECCIÓN DE PARTICIPACIÓN CIUDADANA Y DESARROLLO LOCAL </v>
      </c>
    </row>
    <row r="65383" spans="1:5" ht="25.5" x14ac:dyDescent="0.25">
      <c r="A65383" s="211" t="s">
        <v>310</v>
      </c>
      <c r="B65383" s="205"/>
      <c r="C65383" s="212">
        <v>120000</v>
      </c>
      <c r="D65383" s="213" t="s">
        <v>311</v>
      </c>
      <c r="E65383" s="202" t="str">
        <f>CONCATENATE(Dependencias[[#This Row],[CÓDIGO]]," - ",Dependencias[[#This Row],[DEPENDENCIA]])</f>
        <v xml:space="preserve">120000 - DIRECCIÓN SECTOR EQUIDAD Y GÉNERO </v>
      </c>
    </row>
    <row r="65384" spans="1:5" x14ac:dyDescent="0.25">
      <c r="A65384" s="211" t="s">
        <v>312</v>
      </c>
      <c r="B65384" s="200"/>
      <c r="C65384" s="214">
        <v>12101</v>
      </c>
      <c r="D65384" s="215" t="s">
        <v>313</v>
      </c>
      <c r="E65384" s="202" t="str">
        <f>CONCATENATE(Dependencias[[#This Row],[CÓDIGO]]," - ",Dependencias[[#This Row],[DEPENDENCIA]])</f>
        <v>12101 - GERENCIA LOCAL USAQUÉN</v>
      </c>
    </row>
    <row r="65385" spans="1:5" ht="25.5" x14ac:dyDescent="0.25">
      <c r="A65385" s="211" t="s">
        <v>314</v>
      </c>
      <c r="B65385" s="200"/>
      <c r="C65385" s="212">
        <v>12102</v>
      </c>
      <c r="D65385" s="213" t="s">
        <v>315</v>
      </c>
      <c r="E65385" s="202" t="str">
        <f>CONCATENATE(Dependencias[[#This Row],[CÓDIGO]]," - ",Dependencias[[#This Row],[DEPENDENCIA]])</f>
        <v xml:space="preserve">12102 - GERENCIA LOCAL CHAPINERO </v>
      </c>
    </row>
    <row r="65386" spans="1:5" ht="25.5" x14ac:dyDescent="0.25">
      <c r="A65386" s="211" t="s">
        <v>316</v>
      </c>
      <c r="B65386" s="200"/>
      <c r="C65386" s="214">
        <v>12103</v>
      </c>
      <c r="D65386" s="215" t="s">
        <v>317</v>
      </c>
      <c r="E65386" s="202" t="str">
        <f>CONCATENATE(Dependencias[[#This Row],[CÓDIGO]]," - ",Dependencias[[#This Row],[DEPENDENCIA]])</f>
        <v>12103 - GERENCIA LOCAL SANTAFÉ</v>
      </c>
    </row>
    <row r="65387" spans="1:5" ht="25.5" x14ac:dyDescent="0.25">
      <c r="A65387" s="211" t="s">
        <v>318</v>
      </c>
      <c r="B65387" s="200"/>
      <c r="C65387" s="212">
        <v>12104</v>
      </c>
      <c r="D65387" s="213" t="s">
        <v>319</v>
      </c>
      <c r="E65387" s="202" t="str">
        <f>CONCATENATE(Dependencias[[#This Row],[CÓDIGO]]," - ",Dependencias[[#This Row],[DEPENDENCIA]])</f>
        <v xml:space="preserve">12104 - GERENCIA LOCAL SAN CRISTÓBAL </v>
      </c>
    </row>
    <row r="65388" spans="1:5" ht="63.75" x14ac:dyDescent="0.25">
      <c r="A65388" s="216" t="s">
        <v>320</v>
      </c>
      <c r="B65388" s="200"/>
      <c r="C65388" s="214">
        <v>12105</v>
      </c>
      <c r="D65388" s="215" t="s">
        <v>321</v>
      </c>
      <c r="E65388" s="202" t="str">
        <f>CONCATENATE(Dependencias[[#This Row],[CÓDIGO]]," - ",Dependencias[[#This Row],[DEPENDENCIA]])</f>
        <v xml:space="preserve">12105 - GERENCIA LOCAL USME </v>
      </c>
    </row>
    <row r="65389" spans="1:5" ht="25.5" x14ac:dyDescent="0.25">
      <c r="A65389" s="211" t="s">
        <v>322</v>
      </c>
      <c r="B65389" s="200"/>
      <c r="C65389" s="212">
        <v>12106</v>
      </c>
      <c r="D65389" s="213" t="s">
        <v>323</v>
      </c>
      <c r="E65389" s="202" t="str">
        <f>CONCATENATE(Dependencias[[#This Row],[CÓDIGO]]," - ",Dependencias[[#This Row],[DEPENDENCIA]])</f>
        <v xml:space="preserve">12106 - GERENCIA LOCAL TUNJUELLTO </v>
      </c>
    </row>
    <row r="65390" spans="1:5" ht="25.5" x14ac:dyDescent="0.25">
      <c r="A65390" s="211" t="s">
        <v>324</v>
      </c>
      <c r="B65390" s="200"/>
      <c r="C65390" s="214">
        <v>12107</v>
      </c>
      <c r="D65390" s="215" t="s">
        <v>325</v>
      </c>
      <c r="E65390" s="202" t="str">
        <f>CONCATENATE(Dependencias[[#This Row],[CÓDIGO]]," - ",Dependencias[[#This Row],[DEPENDENCIA]])</f>
        <v xml:space="preserve">12107 - GERENCIA LOCAL BOSA </v>
      </c>
    </row>
    <row r="65391" spans="1:5" ht="25.5" x14ac:dyDescent="0.25">
      <c r="A65391" s="211" t="s">
        <v>326</v>
      </c>
      <c r="B65391" s="200"/>
      <c r="C65391" s="212">
        <v>12108</v>
      </c>
      <c r="D65391" s="213" t="s">
        <v>327</v>
      </c>
      <c r="E65391" s="202" t="str">
        <f>CONCATENATE(Dependencias[[#This Row],[CÓDIGO]]," - ",Dependencias[[#This Row],[DEPENDENCIA]])</f>
        <v xml:space="preserve">12108 - GERENCIA LOCAL KENNEDY </v>
      </c>
    </row>
    <row r="65392" spans="1:5" ht="25.5" x14ac:dyDescent="0.25">
      <c r="A65392" s="211" t="s">
        <v>328</v>
      </c>
      <c r="B65392" s="200"/>
      <c r="C65392" s="214">
        <v>12109</v>
      </c>
      <c r="D65392" s="215" t="s">
        <v>329</v>
      </c>
      <c r="E65392" s="202" t="str">
        <f>CONCATENATE(Dependencias[[#This Row],[CÓDIGO]]," - ",Dependencias[[#This Row],[DEPENDENCIA]])</f>
        <v xml:space="preserve">12109 - GERENCIA LOCAL FONTIBÓN </v>
      </c>
    </row>
    <row r="65393" spans="1:5" ht="25.5" x14ac:dyDescent="0.25">
      <c r="A65393" s="211" t="s">
        <v>330</v>
      </c>
      <c r="B65393" s="200"/>
      <c r="C65393" s="212">
        <v>12110</v>
      </c>
      <c r="D65393" s="213" t="s">
        <v>331</v>
      </c>
      <c r="E65393" s="202" t="str">
        <f>CONCATENATE(Dependencias[[#This Row],[CÓDIGO]]," - ",Dependencias[[#This Row],[DEPENDENCIA]])</f>
        <v xml:space="preserve">12110 - GERENCIA LOCAL ENGATIVÁ </v>
      </c>
    </row>
    <row r="65394" spans="1:5" ht="25.5" x14ac:dyDescent="0.25">
      <c r="A65394" s="211" t="s">
        <v>332</v>
      </c>
      <c r="B65394" s="200"/>
      <c r="C65394" s="214">
        <v>12111</v>
      </c>
      <c r="D65394" s="215" t="s">
        <v>333</v>
      </c>
      <c r="E65394" s="202" t="str">
        <f>CONCATENATE(Dependencias[[#This Row],[CÓDIGO]]," - ",Dependencias[[#This Row],[DEPENDENCIA]])</f>
        <v xml:space="preserve">12111 - GERENCIA LOCAL SUBA </v>
      </c>
    </row>
    <row r="65395" spans="1:5" ht="25.5" x14ac:dyDescent="0.25">
      <c r="A65395" s="211" t="s">
        <v>334</v>
      </c>
      <c r="B65395" s="200"/>
      <c r="C65395" s="212">
        <v>12112</v>
      </c>
      <c r="D65395" s="213" t="s">
        <v>335</v>
      </c>
      <c r="E65395" s="202" t="str">
        <f>CONCATENATE(Dependencias[[#This Row],[CÓDIGO]]," - ",Dependencias[[#This Row],[DEPENDENCIA]])</f>
        <v xml:space="preserve">12112 - GERENCIA LOCAL BARRIOS UNIDOS </v>
      </c>
    </row>
    <row r="65396" spans="1:5" ht="25.5" x14ac:dyDescent="0.25">
      <c r="A65396" s="211" t="s">
        <v>336</v>
      </c>
      <c r="B65396" s="200"/>
      <c r="C65396" s="214">
        <v>12113</v>
      </c>
      <c r="D65396" s="215" t="s">
        <v>337</v>
      </c>
      <c r="E65396" s="202" t="str">
        <f>CONCATENATE(Dependencias[[#This Row],[CÓDIGO]]," - ",Dependencias[[#This Row],[DEPENDENCIA]])</f>
        <v xml:space="preserve">12113 - GERENCIA LOCAL TEUSAQUILLO </v>
      </c>
    </row>
    <row r="65397" spans="1:5" ht="25.5" x14ac:dyDescent="0.25">
      <c r="A65397" s="211" t="s">
        <v>338</v>
      </c>
      <c r="B65397" s="200"/>
      <c r="C65397" s="212">
        <v>12114</v>
      </c>
      <c r="D65397" s="213" t="s">
        <v>339</v>
      </c>
      <c r="E65397" s="202" t="str">
        <f>CONCATENATE(Dependencias[[#This Row],[CÓDIGO]]," - ",Dependencias[[#This Row],[DEPENDENCIA]])</f>
        <v xml:space="preserve">12114 - GERENCIA LOCAL MÁRTIRES </v>
      </c>
    </row>
    <row r="65398" spans="1:5" ht="25.5" x14ac:dyDescent="0.25">
      <c r="A65398" s="211" t="s">
        <v>340</v>
      </c>
      <c r="B65398" s="200"/>
      <c r="C65398" s="214">
        <v>12115</v>
      </c>
      <c r="D65398" s="215" t="s">
        <v>341</v>
      </c>
      <c r="E65398" s="202" t="str">
        <f>CONCATENATE(Dependencias[[#This Row],[CÓDIGO]]," - ",Dependencias[[#This Row],[DEPENDENCIA]])</f>
        <v>12115 - GERENCIA LOCAL ANTONIO NARIÑO</v>
      </c>
    </row>
    <row r="65399" spans="1:5" ht="25.5" x14ac:dyDescent="0.25">
      <c r="A65399" s="211" t="s">
        <v>342</v>
      </c>
      <c r="B65399" s="200"/>
      <c r="C65399" s="212">
        <v>12116</v>
      </c>
      <c r="D65399" s="213" t="s">
        <v>343</v>
      </c>
      <c r="E65399" s="202" t="str">
        <f>CONCATENATE(Dependencias[[#This Row],[CÓDIGO]]," - ",Dependencias[[#This Row],[DEPENDENCIA]])</f>
        <v xml:space="preserve">12116 - GERENCIA LOCAL PUENTE ARANDA </v>
      </c>
    </row>
    <row r="65400" spans="1:5" ht="38.25" x14ac:dyDescent="0.25">
      <c r="A65400" s="211" t="s">
        <v>344</v>
      </c>
      <c r="B65400" s="200"/>
      <c r="C65400" s="214">
        <v>12117</v>
      </c>
      <c r="D65400" s="215" t="s">
        <v>345</v>
      </c>
      <c r="E65400" s="202" t="str">
        <f>CONCATENATE(Dependencias[[#This Row],[CÓDIGO]]," - ",Dependencias[[#This Row],[DEPENDENCIA]])</f>
        <v xml:space="preserve">12117 - GERENCIA LOCAL LA CANDELARIA </v>
      </c>
    </row>
    <row r="65401" spans="1:5" ht="25.5" x14ac:dyDescent="0.25">
      <c r="A65401" s="211" t="s">
        <v>346</v>
      </c>
      <c r="B65401" s="200"/>
      <c r="C65401" s="212">
        <v>12118</v>
      </c>
      <c r="D65401" s="213" t="s">
        <v>347</v>
      </c>
      <c r="E65401" s="202" t="str">
        <f>CONCATENATE(Dependencias[[#This Row],[CÓDIGO]]," - ",Dependencias[[#This Row],[DEPENDENCIA]])</f>
        <v>12118 - GERENCIA LOCAL RAFAEL URIBE URIBE</v>
      </c>
    </row>
    <row r="65402" spans="1:5" ht="38.25" x14ac:dyDescent="0.25">
      <c r="A65402" s="211" t="s">
        <v>348</v>
      </c>
      <c r="B65402" s="200"/>
      <c r="C65402" s="214">
        <v>12119</v>
      </c>
      <c r="D65402" s="215" t="s">
        <v>349</v>
      </c>
      <c r="E65402" s="202" t="str">
        <f>CONCATENATE(Dependencias[[#This Row],[CÓDIGO]]," - ",Dependencias[[#This Row],[DEPENDENCIA]])</f>
        <v xml:space="preserve">12119 - GERENCIA LOCAL CIUDAD BOLIVAR </v>
      </c>
    </row>
    <row r="65403" spans="1:5" ht="25.5" x14ac:dyDescent="0.25">
      <c r="A65403" s="211" t="s">
        <v>350</v>
      </c>
      <c r="B65403" s="200"/>
      <c r="C65403" s="212">
        <v>12120</v>
      </c>
      <c r="D65403" s="213" t="s">
        <v>351</v>
      </c>
      <c r="E65403" s="202" t="str">
        <f>CONCATENATE(Dependencias[[#This Row],[CÓDIGO]]," - ",Dependencias[[#This Row],[DEPENDENCIA]])</f>
        <v xml:space="preserve">12120 - GERENCIA LOCAL SUMAPAZ </v>
      </c>
    </row>
    <row r="65404" spans="1:5" ht="25.5" x14ac:dyDescent="0.25">
      <c r="A65404" s="211" t="s">
        <v>352</v>
      </c>
      <c r="B65404" s="200"/>
      <c r="C65404" s="214">
        <v>130000</v>
      </c>
      <c r="D65404" s="215" t="s">
        <v>353</v>
      </c>
      <c r="E65404" s="202" t="str">
        <f>CONCATENATE(Dependencias[[#This Row],[CÓDIGO]]," - ",Dependencias[[#This Row],[DEPENDENCIA]])</f>
        <v xml:space="preserve">130000 - DIRECCIÓN SECTOR HÁBITAT Y AMBIENTE </v>
      </c>
    </row>
    <row r="65405" spans="1:5" ht="25.5" x14ac:dyDescent="0.25">
      <c r="A65405" s="211" t="s">
        <v>354</v>
      </c>
      <c r="B65405" s="200"/>
      <c r="C65405" s="212">
        <v>140000</v>
      </c>
      <c r="D65405" s="213" t="s">
        <v>355</v>
      </c>
      <c r="E65405" s="202" t="str">
        <f>CONCATENATE(Dependencias[[#This Row],[CÓDIGO]]," - ",Dependencias[[#This Row],[DEPENDENCIA]])</f>
        <v xml:space="preserve">140000 - DIRECCIÓN SECTOR EDUCACIÓN </v>
      </c>
    </row>
    <row r="65406" spans="1:5" ht="25.5" x14ac:dyDescent="0.25">
      <c r="A65406" s="211" t="s">
        <v>356</v>
      </c>
      <c r="B65406" s="200"/>
      <c r="C65406" s="214">
        <v>150000</v>
      </c>
      <c r="D65406" s="215" t="s">
        <v>357</v>
      </c>
      <c r="E65406" s="202" t="str">
        <f>CONCATENATE(Dependencias[[#This Row],[CÓDIGO]]," - ",Dependencias[[#This Row],[DEPENDENCIA]])</f>
        <v xml:space="preserve">150000 - DIRECCIÓN SECTOR HACIENDA </v>
      </c>
    </row>
    <row r="65407" spans="1:5" ht="25.5" x14ac:dyDescent="0.25">
      <c r="A65407" s="211" t="s">
        <v>358</v>
      </c>
      <c r="B65407" s="200"/>
      <c r="C65407" s="212">
        <v>190000</v>
      </c>
      <c r="D65407" s="213" t="s">
        <v>359</v>
      </c>
      <c r="E65407" s="202" t="str">
        <f>CONCATENATE(Dependencias[[#This Row],[CÓDIGO]]," - ",Dependencias[[#This Row],[DEPENDENCIA]])</f>
        <v xml:space="preserve">190000 - DIRECCIÓN SECTOR DESARROLLO ECONÓMICO, INDUSTRIA Y TURISMO </v>
      </c>
    </row>
    <row r="65408" spans="1:5" ht="25.5" x14ac:dyDescent="0.25">
      <c r="A65408" s="211" t="s">
        <v>360</v>
      </c>
      <c r="B65408" s="200"/>
      <c r="C65408" s="214">
        <v>200000</v>
      </c>
      <c r="D65408" s="215" t="s">
        <v>361</v>
      </c>
      <c r="E65408" s="202" t="str">
        <f>CONCATENATE(Dependencias[[#This Row],[CÓDIGO]]," - ",Dependencias[[#This Row],[DEPENDENCIA]])</f>
        <v xml:space="preserve">200000 - DIRECCIÓN SECTOR INTEGRACIÓN SOCIAL </v>
      </c>
    </row>
    <row r="65409" spans="1:5" ht="25.5" x14ac:dyDescent="0.25">
      <c r="A65409" s="211" t="s">
        <v>362</v>
      </c>
      <c r="B65409" s="200"/>
      <c r="C65409" s="212">
        <v>210000</v>
      </c>
      <c r="D65409" s="213" t="s">
        <v>363</v>
      </c>
      <c r="E65409" s="202" t="str">
        <f>CONCATENATE(Dependencias[[#This Row],[CÓDIGO]]," - ",Dependencias[[#This Row],[DEPENDENCIA]])</f>
        <v xml:space="preserve">210000 - DIRECCIÓN SECTOR SERVICIOS PÚBLICOS </v>
      </c>
    </row>
    <row r="65410" spans="1:5" ht="25.5" x14ac:dyDescent="0.25">
      <c r="A65410" s="211" t="s">
        <v>364</v>
      </c>
      <c r="B65410" s="200"/>
      <c r="C65410" s="214">
        <v>220000</v>
      </c>
      <c r="D65410" s="215" t="s">
        <v>365</v>
      </c>
      <c r="E65410" s="202" t="str">
        <f>CONCATENATE(Dependencias[[#This Row],[CÓDIGO]]," - ",Dependencias[[#This Row],[DEPENDENCIA]])</f>
        <v xml:space="preserve">220000 - DIRECCIÓN SECTOR CULTURA, RECREACIÓN Y DEPORTE </v>
      </c>
    </row>
    <row r="65411" spans="1:5" ht="25.5" x14ac:dyDescent="0.25">
      <c r="A65411" s="211" t="s">
        <v>366</v>
      </c>
      <c r="B65411" s="200"/>
      <c r="C65411" s="212">
        <v>230000</v>
      </c>
      <c r="D65411" s="213" t="s">
        <v>367</v>
      </c>
      <c r="E65411" s="202" t="str">
        <f>CONCATENATE(Dependencias[[#This Row],[CÓDIGO]]," - ",Dependencias[[#This Row],[DEPENDENCIA]])</f>
        <v>230000 - DIRECCIÓN SECTOR SEGURIDAD, CONVIVENCIA Y JUSTICIA</v>
      </c>
    </row>
    <row r="65412" spans="1:5" ht="25.5" x14ac:dyDescent="0.25">
      <c r="A65412" s="211" t="s">
        <v>368</v>
      </c>
      <c r="B65412" s="200"/>
      <c r="C65412" s="212">
        <v>80000</v>
      </c>
      <c r="D65412" s="213" t="s">
        <v>369</v>
      </c>
      <c r="E65412" s="202" t="str">
        <f>CONCATENATE(Dependencias[[#This Row],[CÓDIGO]]," - ",Dependencias[[#This Row],[DEPENDENCIA]])</f>
        <v xml:space="preserve">80000 - DIRECCIÓN SECTOR MOVILIDAD </v>
      </c>
    </row>
    <row r="65413" spans="1:5" ht="25.5" x14ac:dyDescent="0.25">
      <c r="A65413" s="211" t="s">
        <v>370</v>
      </c>
      <c r="B65413" s="200"/>
      <c r="C65413" s="217">
        <v>90000</v>
      </c>
      <c r="D65413" s="218" t="s">
        <v>371</v>
      </c>
      <c r="E65413" s="202" t="str">
        <f>CONCATENATE(Dependencias[[#This Row],[CÓDIGO]]," - ",Dependencias[[#This Row],[DEPENDENCIA]])</f>
        <v xml:space="preserve">90000 - DIRECCIÓN SECTOR GESTIÓN JURIDICA </v>
      </c>
    </row>
    <row r="65414" spans="1:5" ht="25.5" x14ac:dyDescent="0.25">
      <c r="A65414" s="211" t="s">
        <v>372</v>
      </c>
      <c r="B65414" s="200"/>
      <c r="C65414" s="214"/>
      <c r="D65414" s="215"/>
      <c r="E65414" s="202"/>
    </row>
    <row r="65415" spans="1:5" x14ac:dyDescent="0.25">
      <c r="A65415" s="211" t="s">
        <v>373</v>
      </c>
      <c r="B65415" s="200"/>
      <c r="C65415" s="203"/>
      <c r="D65415" s="200"/>
      <c r="E65415" s="201"/>
    </row>
    <row r="65416" spans="1:5" ht="25.5" x14ac:dyDescent="0.25">
      <c r="A65416" s="211" t="s">
        <v>374</v>
      </c>
      <c r="B65416" s="200"/>
      <c r="C65416" s="203"/>
      <c r="D65416" s="200"/>
      <c r="E65416" s="201"/>
    </row>
    <row r="65417" spans="1:5" ht="25.5" x14ac:dyDescent="0.25">
      <c r="A65417" s="211" t="s">
        <v>375</v>
      </c>
      <c r="B65417" s="200"/>
      <c r="C65417" s="203"/>
      <c r="D65417" s="200"/>
      <c r="E65417" s="201"/>
    </row>
    <row r="65418" spans="1:5" x14ac:dyDescent="0.25">
      <c r="A65418" s="211" t="s">
        <v>376</v>
      </c>
      <c r="B65418" s="200"/>
      <c r="C65418" s="203"/>
      <c r="D65418" s="200"/>
      <c r="E65418" s="201"/>
    </row>
    <row r="65419" spans="1:5" ht="38.25" x14ac:dyDescent="0.25">
      <c r="A65419" s="211" t="s">
        <v>377</v>
      </c>
      <c r="B65419" s="200"/>
      <c r="C65419" s="203"/>
      <c r="D65419" s="200"/>
      <c r="E65419" s="201"/>
    </row>
    <row r="65420" spans="1:5" x14ac:dyDescent="0.25">
      <c r="A65420" s="211" t="s">
        <v>378</v>
      </c>
      <c r="B65420" s="200"/>
      <c r="C65420" s="203"/>
      <c r="D65420" s="200"/>
      <c r="E65420" s="201"/>
    </row>
    <row r="65421" spans="1:5" x14ac:dyDescent="0.25">
      <c r="A65421" s="211" t="s">
        <v>379</v>
      </c>
      <c r="B65421" s="200"/>
      <c r="C65421" s="203"/>
      <c r="D65421" s="200"/>
      <c r="E65421" s="201"/>
    </row>
    <row r="65422" spans="1:5" x14ac:dyDescent="0.25">
      <c r="A65422" s="211" t="s">
        <v>380</v>
      </c>
      <c r="B65422" s="200"/>
      <c r="C65422" s="203"/>
      <c r="D65422" s="200"/>
      <c r="E65422" s="201"/>
    </row>
    <row r="65423" spans="1:5" x14ac:dyDescent="0.25">
      <c r="A65423" s="211" t="s">
        <v>381</v>
      </c>
      <c r="B65423" s="200"/>
      <c r="C65423" s="203"/>
      <c r="D65423" s="200"/>
      <c r="E65423" s="201"/>
    </row>
    <row r="65424" spans="1:5" ht="25.5" x14ac:dyDescent="0.25">
      <c r="A65424" s="211" t="s">
        <v>382</v>
      </c>
      <c r="B65424" s="200"/>
      <c r="C65424" s="203"/>
      <c r="D65424" s="200"/>
      <c r="E65424" s="201"/>
    </row>
    <row r="65425" spans="1:5" ht="25.5" x14ac:dyDescent="0.25">
      <c r="A65425" s="211" t="s">
        <v>383</v>
      </c>
      <c r="B65425" s="200"/>
      <c r="C65425" s="203"/>
      <c r="D65425" s="200"/>
      <c r="E65425" s="201"/>
    </row>
    <row r="65426" spans="1:5" ht="38.25" x14ac:dyDescent="0.25">
      <c r="A65426" s="211" t="s">
        <v>384</v>
      </c>
      <c r="B65426" s="200"/>
      <c r="C65426" s="203"/>
      <c r="D65426" s="200"/>
      <c r="E65426" s="201"/>
    </row>
    <row r="65427" spans="1:5" ht="25.5" x14ac:dyDescent="0.25">
      <c r="A65427" s="211" t="s">
        <v>385</v>
      </c>
      <c r="B65427" s="200"/>
      <c r="C65427" s="203"/>
      <c r="D65427" s="200"/>
      <c r="E65427" s="201"/>
    </row>
    <row r="65428" spans="1:5" ht="25.5" x14ac:dyDescent="0.25">
      <c r="A65428" s="211" t="s">
        <v>386</v>
      </c>
      <c r="B65428" s="200"/>
      <c r="C65428" s="203"/>
      <c r="D65428" s="200"/>
      <c r="E65428" s="201"/>
    </row>
    <row r="65429" spans="1:5" ht="25.5" x14ac:dyDescent="0.25">
      <c r="A65429" s="211" t="s">
        <v>387</v>
      </c>
      <c r="B65429" s="200"/>
      <c r="C65429" s="203"/>
      <c r="D65429" s="200"/>
      <c r="E65429" s="201"/>
    </row>
    <row r="65430" spans="1:5" ht="38.25" x14ac:dyDescent="0.25">
      <c r="A65430" s="211" t="s">
        <v>388</v>
      </c>
      <c r="B65430" s="200"/>
      <c r="C65430" s="203"/>
      <c r="D65430" s="200"/>
      <c r="E65430" s="201"/>
    </row>
    <row r="65431" spans="1:5" ht="38.25" x14ac:dyDescent="0.25">
      <c r="A65431" s="211" t="s">
        <v>389</v>
      </c>
      <c r="B65431" s="200"/>
      <c r="C65431" s="203"/>
      <c r="D65431" s="200"/>
      <c r="E65431" s="201"/>
    </row>
    <row r="65432" spans="1:5" ht="25.5" x14ac:dyDescent="0.25">
      <c r="A65432" s="211" t="s">
        <v>390</v>
      </c>
      <c r="B65432" s="200"/>
      <c r="C65432" s="203"/>
      <c r="D65432" s="200"/>
      <c r="E65432" s="201"/>
    </row>
    <row r="65433" spans="1:5" ht="25.5" x14ac:dyDescent="0.25">
      <c r="A65433" s="211" t="s">
        <v>391</v>
      </c>
      <c r="B65433" s="200"/>
      <c r="C65433" s="203"/>
      <c r="D65433" s="200"/>
      <c r="E65433" s="201"/>
    </row>
    <row r="65434" spans="1:5" ht="25.5" x14ac:dyDescent="0.25">
      <c r="A65434" s="211" t="s">
        <v>392</v>
      </c>
      <c r="B65434" s="200"/>
      <c r="C65434" s="203"/>
      <c r="D65434" s="200"/>
      <c r="E65434" s="201"/>
    </row>
    <row r="65435" spans="1:5" ht="38.25" x14ac:dyDescent="0.25">
      <c r="A65435" s="211" t="s">
        <v>393</v>
      </c>
      <c r="B65435" s="200"/>
      <c r="C65435" s="203"/>
      <c r="D65435" s="200"/>
      <c r="E65435" s="201"/>
    </row>
    <row r="65436" spans="1:5" ht="25.5" x14ac:dyDescent="0.25">
      <c r="A65436" s="211" t="s">
        <v>394</v>
      </c>
      <c r="B65436" s="200"/>
      <c r="C65436" s="203"/>
      <c r="D65436" s="200"/>
      <c r="E65436" s="201"/>
    </row>
    <row r="65437" spans="1:5" ht="25.5" x14ac:dyDescent="0.25">
      <c r="A65437" s="211" t="s">
        <v>395</v>
      </c>
      <c r="B65437" s="200"/>
      <c r="C65437" s="203"/>
      <c r="D65437" s="200"/>
      <c r="E65437" s="201"/>
    </row>
    <row r="65438" spans="1:5" ht="25.5" x14ac:dyDescent="0.25">
      <c r="A65438" s="211" t="s">
        <v>396</v>
      </c>
      <c r="B65438" s="200"/>
      <c r="C65438" s="203"/>
      <c r="D65438" s="200"/>
      <c r="E65438" s="201"/>
    </row>
    <row r="65439" spans="1:5" x14ac:dyDescent="0.25">
      <c r="A65439" s="211" t="s">
        <v>397</v>
      </c>
      <c r="B65439" s="200"/>
      <c r="C65439" s="203"/>
      <c r="D65439" s="200"/>
      <c r="E65439" s="201"/>
    </row>
    <row r="65440" spans="1:5" x14ac:dyDescent="0.25">
      <c r="A65440" s="211" t="s">
        <v>398</v>
      </c>
      <c r="B65440" s="200"/>
      <c r="C65440" s="203"/>
      <c r="D65440" s="200"/>
      <c r="E65440" s="201"/>
    </row>
    <row r="65441" spans="1:5" ht="25.5" x14ac:dyDescent="0.25">
      <c r="A65441" s="211" t="s">
        <v>399</v>
      </c>
      <c r="B65441" s="200"/>
      <c r="C65441" s="203"/>
      <c r="D65441" s="200"/>
      <c r="E65441" s="201"/>
    </row>
    <row r="65442" spans="1:5" ht="38.25" x14ac:dyDescent="0.25">
      <c r="A65442" s="211" t="s">
        <v>400</v>
      </c>
      <c r="B65442" s="200"/>
      <c r="C65442" s="203"/>
      <c r="D65442" s="200"/>
      <c r="E65442" s="201"/>
    </row>
    <row r="65443" spans="1:5" x14ac:dyDescent="0.25">
      <c r="A65443" s="211" t="s">
        <v>401</v>
      </c>
      <c r="B65443" s="200"/>
      <c r="C65443" s="203"/>
      <c r="D65443" s="200"/>
      <c r="E65443" s="201"/>
    </row>
    <row r="65444" spans="1:5" ht="38.25" x14ac:dyDescent="0.25">
      <c r="A65444" s="211" t="s">
        <v>402</v>
      </c>
      <c r="B65444" s="200"/>
      <c r="C65444" s="203"/>
      <c r="D65444" s="200"/>
      <c r="E65444" s="201"/>
    </row>
    <row r="65445" spans="1:5" x14ac:dyDescent="0.25">
      <c r="A65445" s="211" t="s">
        <v>403</v>
      </c>
      <c r="B65445" s="200"/>
      <c r="C65445" s="203"/>
      <c r="D65445" s="200"/>
      <c r="E65445" s="201"/>
    </row>
    <row r="65446" spans="1:5" ht="25.5" x14ac:dyDescent="0.25">
      <c r="A65446" s="211" t="s">
        <v>120</v>
      </c>
      <c r="B65446" s="200"/>
      <c r="C65446" s="203"/>
      <c r="D65446" s="200"/>
      <c r="E65446" s="201"/>
    </row>
    <row r="65447" spans="1:5" ht="25.5" x14ac:dyDescent="0.25">
      <c r="A65447" s="211" t="s">
        <v>404</v>
      </c>
      <c r="B65447" s="200"/>
      <c r="C65447" s="203"/>
      <c r="D65447" s="200"/>
      <c r="E65447" s="201"/>
    </row>
    <row r="65448" spans="1:5" x14ac:dyDescent="0.25">
      <c r="A65448" s="211" t="s">
        <v>405</v>
      </c>
      <c r="B65448" s="200"/>
      <c r="C65448" s="203"/>
      <c r="D65448" s="200"/>
      <c r="E65448" s="201"/>
    </row>
    <row r="65449" spans="1:5" ht="38.25" x14ac:dyDescent="0.25">
      <c r="A65449" s="211" t="s">
        <v>406</v>
      </c>
      <c r="B65449" s="200"/>
      <c r="C65449" s="203"/>
      <c r="D65449" s="200"/>
      <c r="E65449" s="201"/>
    </row>
    <row r="65450" spans="1:5" ht="25.5" x14ac:dyDescent="0.25">
      <c r="A65450" s="211" t="s">
        <v>407</v>
      </c>
      <c r="B65450" s="200"/>
      <c r="C65450" s="203"/>
      <c r="D65450" s="200"/>
      <c r="E65450" s="201"/>
    </row>
    <row r="65451" spans="1:5" ht="25.5" x14ac:dyDescent="0.25">
      <c r="A65451" s="211" t="s">
        <v>408</v>
      </c>
      <c r="B65451" s="200"/>
      <c r="C65451" s="203"/>
      <c r="D65451" s="200"/>
      <c r="E65451" s="201"/>
    </row>
    <row r="65452" spans="1:5" ht="25.5" x14ac:dyDescent="0.25">
      <c r="A65452" s="211" t="s">
        <v>409</v>
      </c>
      <c r="B65452" s="200"/>
      <c r="C65452" s="203"/>
      <c r="D65452" s="200"/>
      <c r="E65452" s="201"/>
    </row>
    <row r="65453" spans="1:5" ht="25.5" x14ac:dyDescent="0.25">
      <c r="A65453" s="211" t="s">
        <v>410</v>
      </c>
      <c r="B65453" s="200"/>
      <c r="C65453" s="203"/>
      <c r="D65453" s="200"/>
      <c r="E65453" s="201"/>
    </row>
    <row r="65454" spans="1:5" ht="25.5" x14ac:dyDescent="0.25">
      <c r="A65454" s="211" t="s">
        <v>411</v>
      </c>
      <c r="B65454" s="200"/>
      <c r="C65454" s="203"/>
      <c r="D65454" s="200"/>
      <c r="E65454" s="201"/>
    </row>
    <row r="65455" spans="1:5" ht="38.25" x14ac:dyDescent="0.25">
      <c r="A65455" s="211" t="s">
        <v>412</v>
      </c>
      <c r="B65455" s="200"/>
      <c r="C65455" s="203"/>
      <c r="D65455" s="200"/>
      <c r="E65455" s="201"/>
    </row>
    <row r="65456" spans="1:5" ht="38.25" x14ac:dyDescent="0.25">
      <c r="A65456" s="211" t="s">
        <v>413</v>
      </c>
      <c r="B65456" s="200"/>
      <c r="C65456" s="203"/>
      <c r="D65456" s="200"/>
      <c r="E65456" s="201"/>
    </row>
    <row r="65457" spans="1:5" ht="25.5" x14ac:dyDescent="0.25">
      <c r="A65457" s="211" t="s">
        <v>414</v>
      </c>
      <c r="B65457" s="200"/>
      <c r="C65457" s="203"/>
      <c r="D65457" s="200"/>
      <c r="E65457" s="201"/>
    </row>
    <row r="65458" spans="1:5" x14ac:dyDescent="0.25">
      <c r="A65458" s="211" t="s">
        <v>415</v>
      </c>
      <c r="B65458" s="200"/>
      <c r="C65458" s="203"/>
      <c r="D65458" s="200"/>
      <c r="E65458" s="201"/>
    </row>
    <row r="65459" spans="1:5" ht="25.5" x14ac:dyDescent="0.25">
      <c r="A65459" s="211" t="s">
        <v>416</v>
      </c>
      <c r="B65459" s="200"/>
      <c r="C65459" s="203"/>
      <c r="D65459" s="200"/>
      <c r="E65459" s="201"/>
    </row>
    <row r="65460" spans="1:5" ht="38.25" x14ac:dyDescent="0.25">
      <c r="A65460" s="211" t="s">
        <v>417</v>
      </c>
      <c r="B65460" s="200"/>
      <c r="C65460" s="203"/>
      <c r="D65460" s="200"/>
      <c r="E65460" s="201"/>
    </row>
    <row r="65461" spans="1:5" ht="38.25" x14ac:dyDescent="0.25">
      <c r="A65461" s="211" t="s">
        <v>418</v>
      </c>
      <c r="B65461" s="200"/>
      <c r="C65461" s="203"/>
      <c r="D65461" s="200"/>
      <c r="E65461" s="201"/>
    </row>
    <row r="65462" spans="1:5" ht="25.5" x14ac:dyDescent="0.25">
      <c r="A65462" s="211" t="s">
        <v>419</v>
      </c>
      <c r="B65462" s="200"/>
      <c r="C65462" s="203"/>
      <c r="D65462" s="200"/>
      <c r="E65462" s="201"/>
    </row>
    <row r="65463" spans="1:5" ht="25.5" x14ac:dyDescent="0.25">
      <c r="A65463" s="211" t="s">
        <v>420</v>
      </c>
      <c r="B65463" s="200"/>
      <c r="C65463" s="203"/>
      <c r="D65463" s="200"/>
      <c r="E65463" s="201"/>
    </row>
    <row r="65464" spans="1:5" x14ac:dyDescent="0.25">
      <c r="A65464" s="211" t="s">
        <v>421</v>
      </c>
      <c r="B65464" s="200"/>
      <c r="C65464" s="203"/>
      <c r="D65464" s="200"/>
      <c r="E65464" s="201"/>
    </row>
    <row r="65465" spans="1:5" ht="38.25" x14ac:dyDescent="0.25">
      <c r="A65465" s="211" t="s">
        <v>422</v>
      </c>
      <c r="B65465" s="200"/>
      <c r="C65465" s="203"/>
      <c r="D65465" s="200"/>
      <c r="E65465" s="201"/>
    </row>
    <row r="65466" spans="1:5" ht="51" x14ac:dyDescent="0.25">
      <c r="A65466" s="211" t="s">
        <v>423</v>
      </c>
      <c r="B65466" s="200"/>
      <c r="C65466" s="203"/>
      <c r="D65466" s="200"/>
      <c r="E65466" s="201"/>
    </row>
    <row r="65467" spans="1:5" ht="25.5" x14ac:dyDescent="0.25">
      <c r="A65467" s="211" t="s">
        <v>424</v>
      </c>
      <c r="B65467" s="200"/>
      <c r="C65467" s="203"/>
      <c r="D65467" s="200"/>
      <c r="E65467" s="201"/>
    </row>
    <row r="65468" spans="1:5" ht="25.5" x14ac:dyDescent="0.25">
      <c r="A65468" s="211" t="s">
        <v>425</v>
      </c>
      <c r="B65468" s="200"/>
      <c r="C65468" s="203"/>
      <c r="D65468" s="200"/>
      <c r="E65468" s="201"/>
    </row>
    <row r="65469" spans="1:5" ht="25.5" x14ac:dyDescent="0.25">
      <c r="A65469" s="211" t="s">
        <v>426</v>
      </c>
      <c r="B65469" s="200"/>
      <c r="C65469" s="203"/>
      <c r="D65469" s="200"/>
      <c r="E65469" s="201"/>
    </row>
    <row r="65470" spans="1:5" ht="25.5" x14ac:dyDescent="0.25">
      <c r="A65470" s="211" t="s">
        <v>427</v>
      </c>
      <c r="B65470" s="200"/>
      <c r="C65470" s="203"/>
      <c r="D65470" s="200"/>
      <c r="E65470" s="201"/>
    </row>
    <row r="65471" spans="1:5" x14ac:dyDescent="0.25">
      <c r="A65471" s="211" t="s">
        <v>428</v>
      </c>
      <c r="B65471" s="200"/>
      <c r="C65471" s="203"/>
      <c r="D65471" s="200"/>
      <c r="E65471" s="201"/>
    </row>
    <row r="65472" spans="1:5" ht="38.25" x14ac:dyDescent="0.25">
      <c r="A65472" s="211" t="s">
        <v>429</v>
      </c>
      <c r="B65472" s="200"/>
      <c r="C65472" s="203"/>
      <c r="D65472" s="200"/>
      <c r="E65472" s="201"/>
    </row>
    <row r="65473" spans="1:5" ht="25.5" x14ac:dyDescent="0.25">
      <c r="A65473" s="1063" t="s">
        <v>430</v>
      </c>
      <c r="B65473" s="200"/>
      <c r="C65473" s="203"/>
      <c r="D65473" s="200"/>
      <c r="E65473" s="201"/>
    </row>
    <row r="65474" spans="1:5" ht="25.5" x14ac:dyDescent="0.25">
      <c r="A65474" s="211" t="s">
        <v>431</v>
      </c>
      <c r="B65474" s="200"/>
      <c r="C65474" s="203"/>
      <c r="D65474" s="200"/>
      <c r="E65474" s="201"/>
    </row>
    <row r="65475" spans="1:5" ht="25.5" x14ac:dyDescent="0.25">
      <c r="A65475" s="211" t="s">
        <v>432</v>
      </c>
      <c r="B65475" s="200"/>
      <c r="C65475" s="203"/>
      <c r="D65475" s="200"/>
      <c r="E65475" s="201"/>
    </row>
    <row r="65476" spans="1:5" ht="33" customHeight="1" x14ac:dyDescent="0.25">
      <c r="A65476" s="1063" t="s">
        <v>433</v>
      </c>
      <c r="B65476" s="200"/>
      <c r="C65476" s="203"/>
      <c r="D65476" s="200"/>
      <c r="E65476" s="201"/>
    </row>
    <row r="65477" spans="1:5" x14ac:dyDescent="0.25">
      <c r="A65477" s="206"/>
      <c r="B65477" s="200"/>
      <c r="C65477" s="203"/>
      <c r="D65477" s="200"/>
      <c r="E65477" s="201"/>
    </row>
    <row r="65478" spans="1:5" x14ac:dyDescent="0.25">
      <c r="A65478" s="206"/>
      <c r="B65478" s="200"/>
      <c r="C65478" s="203"/>
      <c r="D65478" s="200"/>
      <c r="E65478" s="201"/>
    </row>
    <row r="65479" spans="1:5" x14ac:dyDescent="0.25">
      <c r="A65479" s="206"/>
      <c r="B65479" s="200"/>
      <c r="C65479" s="203"/>
      <c r="D65479" s="200"/>
      <c r="E65479" s="201"/>
    </row>
    <row r="65480" spans="1:5" x14ac:dyDescent="0.25">
      <c r="A65480" s="206"/>
      <c r="B65480" s="200"/>
      <c r="C65480" s="203"/>
      <c r="D65480" s="200"/>
      <c r="E65480" s="201"/>
    </row>
    <row r="65481" spans="1:5" x14ac:dyDescent="0.25">
      <c r="A65481" s="206"/>
      <c r="B65481" s="200"/>
      <c r="C65481" s="203"/>
      <c r="D65481" s="200"/>
      <c r="E65481" s="201"/>
    </row>
    <row r="65482" spans="1:5" x14ac:dyDescent="0.25">
      <c r="A65482" s="206"/>
      <c r="B65482" s="200"/>
      <c r="C65482" s="203"/>
      <c r="D65482" s="200"/>
      <c r="E65482" s="201"/>
    </row>
    <row r="65483" spans="1:5" x14ac:dyDescent="0.25">
      <c r="A65483" s="219"/>
      <c r="B65483" s="200"/>
      <c r="C65483" s="203"/>
      <c r="D65483" s="200"/>
      <c r="E65483" s="201"/>
    </row>
    <row r="65484" spans="1:5" x14ac:dyDescent="0.25">
      <c r="A65484" s="206"/>
      <c r="B65484" s="200"/>
      <c r="C65484" s="203"/>
      <c r="D65484" s="200"/>
      <c r="E65484" s="201"/>
    </row>
    <row r="65485" spans="1:5" x14ac:dyDescent="0.25">
      <c r="A65485" s="206"/>
      <c r="B65485" s="200"/>
      <c r="C65485" s="203"/>
      <c r="D65485" s="200"/>
      <c r="E65485" s="201"/>
    </row>
    <row r="65486" spans="1:5" x14ac:dyDescent="0.25">
      <c r="A65486" s="206"/>
      <c r="B65486" s="200"/>
      <c r="C65486" s="203"/>
      <c r="D65486" s="200"/>
      <c r="E65486" s="201"/>
    </row>
    <row r="65487" spans="1:5" x14ac:dyDescent="0.25">
      <c r="A65487" s="206"/>
      <c r="B65487" s="200"/>
      <c r="C65487" s="203"/>
      <c r="D65487" s="200"/>
      <c r="E65487" s="201"/>
    </row>
    <row r="65488" spans="1:5" x14ac:dyDescent="0.25">
      <c r="A65488" s="206"/>
      <c r="B65488" s="200"/>
      <c r="C65488" s="203"/>
      <c r="D65488" s="200"/>
      <c r="E65488" s="201"/>
    </row>
    <row r="65489" spans="1:5" x14ac:dyDescent="0.25">
      <c r="A65489" s="206"/>
      <c r="B65489" s="200"/>
      <c r="C65489" s="203"/>
      <c r="D65489" s="200"/>
      <c r="E65489" s="201"/>
    </row>
    <row r="65490" spans="1:5" x14ac:dyDescent="0.25">
      <c r="A65490" s="206"/>
      <c r="B65490" s="200"/>
      <c r="C65490" s="203"/>
      <c r="D65490" s="200"/>
      <c r="E65490" s="201"/>
    </row>
    <row r="65491" spans="1:5" x14ac:dyDescent="0.25">
      <c r="A65491" s="206"/>
      <c r="B65491" s="200"/>
      <c r="C65491" s="203"/>
      <c r="D65491" s="200"/>
      <c r="E65491" s="201"/>
    </row>
    <row r="65492" spans="1:5" x14ac:dyDescent="0.25">
      <c r="A65492" s="206"/>
      <c r="B65492" s="200"/>
      <c r="C65492" s="203"/>
      <c r="D65492" s="200"/>
      <c r="E65492" s="201"/>
    </row>
    <row r="65493" spans="1:5" x14ac:dyDescent="0.25">
      <c r="A65493" s="206"/>
      <c r="B65493" s="200"/>
      <c r="C65493" s="203"/>
      <c r="D65493" s="200"/>
      <c r="E65493" s="201"/>
    </row>
    <row r="65494" spans="1:5" x14ac:dyDescent="0.25">
      <c r="A65494" s="206"/>
      <c r="B65494" s="200"/>
      <c r="C65494" s="203"/>
      <c r="D65494" s="200"/>
      <c r="E65494" s="201"/>
    </row>
    <row r="65495" spans="1:5" x14ac:dyDescent="0.25">
      <c r="A65495" s="206"/>
      <c r="B65495" s="200"/>
      <c r="C65495" s="203"/>
      <c r="D65495" s="200"/>
      <c r="E65495" s="201"/>
    </row>
    <row r="65496" spans="1:5" x14ac:dyDescent="0.25">
      <c r="A65496" s="206"/>
      <c r="B65496" s="200"/>
      <c r="C65496" s="203"/>
      <c r="D65496" s="200"/>
      <c r="E65496" s="201"/>
    </row>
    <row r="65497" spans="1:5" x14ac:dyDescent="0.25">
      <c r="A65497" s="206"/>
      <c r="B65497" s="200"/>
      <c r="C65497" s="203"/>
      <c r="D65497" s="200"/>
      <c r="E65497" s="201"/>
    </row>
    <row r="65498" spans="1:5" x14ac:dyDescent="0.25">
      <c r="A65498" s="206"/>
      <c r="B65498" s="200"/>
      <c r="C65498" s="203"/>
      <c r="D65498" s="200"/>
      <c r="E65498" s="201"/>
    </row>
    <row r="65499" spans="1:5" x14ac:dyDescent="0.25">
      <c r="A65499" s="206"/>
      <c r="B65499" s="200"/>
      <c r="C65499" s="203"/>
      <c r="D65499" s="200"/>
      <c r="E65499" s="201"/>
    </row>
    <row r="65500" spans="1:5" x14ac:dyDescent="0.25">
      <c r="A65500" s="206"/>
      <c r="B65500" s="200"/>
      <c r="C65500" s="203"/>
      <c r="D65500" s="200"/>
      <c r="E65500" s="201"/>
    </row>
    <row r="65501" spans="1:5" x14ac:dyDescent="0.25">
      <c r="A65501" s="206"/>
      <c r="B65501" s="200"/>
      <c r="C65501" s="203"/>
      <c r="D65501" s="200"/>
      <c r="E65501" s="201"/>
    </row>
    <row r="65502" spans="1:5" x14ac:dyDescent="0.25">
      <c r="A65502" s="206"/>
      <c r="B65502" s="200"/>
      <c r="C65502" s="203"/>
      <c r="D65502" s="200"/>
      <c r="E65502" s="201"/>
    </row>
    <row r="65503" spans="1:5" x14ac:dyDescent="0.25">
      <c r="A65503" s="206"/>
      <c r="B65503" s="200"/>
      <c r="C65503" s="203"/>
      <c r="D65503" s="200"/>
      <c r="E65503" s="201"/>
    </row>
    <row r="65504" spans="1:5" x14ac:dyDescent="0.25">
      <c r="A65504" s="206"/>
      <c r="B65504" s="200"/>
      <c r="C65504" s="203"/>
      <c r="D65504" s="200"/>
      <c r="E65504" s="201"/>
    </row>
    <row r="65505" spans="1:57" x14ac:dyDescent="0.25">
      <c r="A65505" s="206"/>
      <c r="B65505" s="200"/>
      <c r="C65505" s="203"/>
      <c r="D65505" s="200"/>
      <c r="E65505" s="201"/>
    </row>
    <row r="65506" spans="1:57" x14ac:dyDescent="0.25">
      <c r="A65506" s="206"/>
      <c r="B65506" s="200"/>
      <c r="C65506" s="203"/>
      <c r="D65506" s="200"/>
      <c r="E65506" s="201"/>
    </row>
    <row r="65507" spans="1:57" x14ac:dyDescent="0.25">
      <c r="A65507" s="206"/>
      <c r="B65507" s="200"/>
      <c r="C65507" s="203"/>
      <c r="D65507" s="200"/>
      <c r="E65507" s="201"/>
    </row>
    <row r="65508" spans="1:57" x14ac:dyDescent="0.25">
      <c r="A65508" s="206"/>
      <c r="B65508" s="200"/>
      <c r="C65508" s="203"/>
      <c r="D65508" s="200"/>
      <c r="E65508" s="201"/>
    </row>
    <row r="65509" spans="1:57" x14ac:dyDescent="0.25">
      <c r="A65509" s="206"/>
      <c r="B65509" s="200"/>
      <c r="C65509" s="203"/>
      <c r="D65509" s="200"/>
      <c r="E65509" s="201"/>
    </row>
    <row r="65510" spans="1:57" x14ac:dyDescent="0.25">
      <c r="A65510" s="206"/>
      <c r="B65510" s="200"/>
      <c r="C65510" s="203"/>
      <c r="D65510" s="200"/>
      <c r="E65510" s="201"/>
    </row>
    <row r="65511" spans="1:57" x14ac:dyDescent="0.25">
      <c r="A65511" s="206"/>
      <c r="B65511" s="200"/>
      <c r="C65511" s="203"/>
      <c r="D65511" s="200"/>
      <c r="E65511" s="201"/>
    </row>
    <row r="65512" spans="1:57" x14ac:dyDescent="0.25">
      <c r="A65512" s="206"/>
      <c r="B65512" s="200"/>
      <c r="C65512" s="203"/>
      <c r="D65512" s="200"/>
      <c r="E65512" s="201"/>
    </row>
    <row r="65513" spans="1:57" ht="15" thickBot="1" x14ac:dyDescent="0.3">
      <c r="A65513" s="220"/>
      <c r="B65513" s="203"/>
      <c r="C65513" s="203"/>
      <c r="D65513" s="201"/>
      <c r="E65513" s="201"/>
      <c r="R65513" s="103"/>
      <c r="BE65513" s="104"/>
    </row>
    <row r="65514" spans="1:57" x14ac:dyDescent="0.25">
      <c r="A65514" s="200"/>
      <c r="B65514" s="203"/>
      <c r="C65514" s="203"/>
      <c r="D65514" s="201"/>
      <c r="E65514" s="201"/>
      <c r="R65514" s="103"/>
      <c r="BE65514" s="104"/>
    </row>
    <row r="65515" spans="1:57" x14ac:dyDescent="0.25">
      <c r="A65515" s="200"/>
      <c r="B65515" s="203"/>
      <c r="C65515" s="203"/>
      <c r="D65515" s="201"/>
      <c r="E65515" s="201"/>
      <c r="R65515" s="103"/>
      <c r="BE65515" s="104"/>
    </row>
    <row r="65516" spans="1:57" x14ac:dyDescent="0.25">
      <c r="A65516" s="200"/>
      <c r="B65516" s="203"/>
      <c r="C65516" s="203"/>
      <c r="D65516" s="201"/>
      <c r="E65516" s="201"/>
      <c r="R65516" s="103"/>
      <c r="BE65516" s="104"/>
    </row>
    <row r="65517" spans="1:57" x14ac:dyDescent="0.25">
      <c r="A65517" s="200"/>
      <c r="B65517" s="203"/>
      <c r="C65517" s="203"/>
      <c r="D65517" s="201"/>
      <c r="E65517" s="201"/>
      <c r="R65517" s="103"/>
      <c r="BE65517" s="104"/>
    </row>
    <row r="65518" spans="1:57" x14ac:dyDescent="0.25">
      <c r="A65518" s="200" t="s">
        <v>459</v>
      </c>
      <c r="B65518" s="203"/>
      <c r="C65518" s="203"/>
      <c r="D65518" s="201"/>
      <c r="E65518" s="201"/>
      <c r="R65518" s="103"/>
      <c r="BE65518" s="104"/>
    </row>
    <row r="65519" spans="1:57" x14ac:dyDescent="0.25">
      <c r="A65519" s="200" t="s">
        <v>434</v>
      </c>
      <c r="B65519" s="203"/>
      <c r="C65519" s="203"/>
      <c r="D65519" s="201"/>
      <c r="E65519" s="201"/>
      <c r="R65519" s="103"/>
      <c r="BE65519" s="104"/>
    </row>
    <row r="65520" spans="1:57" x14ac:dyDescent="0.25">
      <c r="A65520" s="200" t="s">
        <v>435</v>
      </c>
      <c r="B65520" s="203"/>
      <c r="C65520" s="203"/>
      <c r="D65520" s="201"/>
      <c r="E65520" s="201"/>
      <c r="R65520" s="103"/>
      <c r="BE65520" s="104"/>
    </row>
    <row r="65521" spans="1:57" x14ac:dyDescent="0.25">
      <c r="A65521" s="200" t="s">
        <v>436</v>
      </c>
      <c r="B65521" s="203"/>
      <c r="C65521" s="203"/>
      <c r="D65521" s="201"/>
      <c r="E65521" s="201"/>
      <c r="R65521" s="103"/>
      <c r="BE65521" s="104"/>
    </row>
    <row r="65522" spans="1:57" x14ac:dyDescent="0.25">
      <c r="A65522" s="200" t="s">
        <v>196</v>
      </c>
      <c r="B65522" s="203"/>
      <c r="C65522" s="203"/>
      <c r="D65522" s="201"/>
      <c r="E65522" s="201"/>
      <c r="R65522" s="103"/>
      <c r="BE65522" s="104"/>
    </row>
    <row r="65523" spans="1:57" x14ac:dyDescent="0.25">
      <c r="A65523" s="200" t="s">
        <v>437</v>
      </c>
      <c r="B65523" s="200"/>
      <c r="C65523" s="203"/>
      <c r="D65523" s="200"/>
      <c r="E65523" s="201"/>
    </row>
    <row r="65524" spans="1:57" x14ac:dyDescent="0.25">
      <c r="A65524" s="200" t="s">
        <v>197</v>
      </c>
      <c r="B65524" s="200"/>
      <c r="C65524" s="203"/>
      <c r="D65524" s="200"/>
      <c r="E65524" s="201"/>
    </row>
  </sheetData>
  <sheetProtection algorithmName="SHA-512" hashValue="bmTzPLaVIIW3sngGEPwZChRfbjTd3d7ureibibdKAZL8xZ+8rIxuP67gNpa64ic1vFW4KT47gctiQPv5rQ7SQQ==" saltValue="wnoQ1k51ENaEIteCXDHoig==" spinCount="100000" sheet="1" pivotTables="0"/>
  <mergeCells count="44">
    <mergeCell ref="A13:A14"/>
    <mergeCell ref="B12:C12"/>
    <mergeCell ref="B1:CX1"/>
    <mergeCell ref="A2:D2"/>
    <mergeCell ref="B3:C3"/>
    <mergeCell ref="B4:C4"/>
    <mergeCell ref="B5:C5"/>
    <mergeCell ref="B6:C6"/>
    <mergeCell ref="B7:C7"/>
    <mergeCell ref="B8:C8"/>
    <mergeCell ref="B9:C9"/>
    <mergeCell ref="B10:C10"/>
    <mergeCell ref="B11:C11"/>
    <mergeCell ref="B13:B14"/>
    <mergeCell ref="C13:C14"/>
    <mergeCell ref="D43:D44"/>
    <mergeCell ref="B45:B48"/>
    <mergeCell ref="D45:D46"/>
    <mergeCell ref="B50:B52"/>
    <mergeCell ref="A22:A36"/>
    <mergeCell ref="B26:B28"/>
    <mergeCell ref="B29:B32"/>
    <mergeCell ref="D30:D31"/>
    <mergeCell ref="B33:B36"/>
    <mergeCell ref="D35:D36"/>
    <mergeCell ref="A37:A53"/>
    <mergeCell ref="B37:B44"/>
    <mergeCell ref="D38:D39"/>
    <mergeCell ref="D40:D41"/>
    <mergeCell ref="E106:E110"/>
    <mergeCell ref="B81:D81"/>
    <mergeCell ref="K92:Q92"/>
    <mergeCell ref="L93:Q93"/>
    <mergeCell ref="F94:H94"/>
    <mergeCell ref="L94:M94"/>
    <mergeCell ref="N94:O94"/>
    <mergeCell ref="P94:Q94"/>
    <mergeCell ref="G100:I100"/>
    <mergeCell ref="E102:E105"/>
    <mergeCell ref="A54:A63"/>
    <mergeCell ref="B55:B59"/>
    <mergeCell ref="B62:B63"/>
    <mergeCell ref="A64:A69"/>
    <mergeCell ref="B64:B69"/>
  </mergeCells>
  <conditionalFormatting sqref="B11">
    <cfRule type="containsText" dxfId="25" priority="16" operator="containsText" text="NO">
      <formula>NOT(ISERROR(SEARCH("NO",B11)))</formula>
    </cfRule>
    <cfRule type="containsText" dxfId="24" priority="17" operator="containsText" text="SI">
      <formula>NOT(ISERROR(SEARCH("SI",B11)))</formula>
    </cfRule>
  </conditionalFormatting>
  <conditionalFormatting sqref="B15">
    <cfRule type="cellIs" dxfId="23" priority="21" stopIfTrue="1" operator="equal">
      <formula>"ANTIECONOMICO"</formula>
    </cfRule>
    <cfRule type="containsText" dxfId="22" priority="22" stopIfTrue="1" operator="containsText" text="ECONOMICO">
      <formula>NOT(ISERROR(SEARCH("ECONOMICO",B15)))</formula>
    </cfRule>
  </conditionalFormatting>
  <conditionalFormatting sqref="B16">
    <cfRule type="cellIs" dxfId="21" priority="23" stopIfTrue="1" operator="equal">
      <formula>"EFICAZ"</formula>
    </cfRule>
    <cfRule type="cellIs" dxfId="20" priority="24" stopIfTrue="1" operator="equal">
      <formula>"INEFICAZ"</formula>
    </cfRule>
  </conditionalFormatting>
  <conditionalFormatting sqref="B17">
    <cfRule type="cellIs" dxfId="19" priority="14" operator="equal">
      <formula>"DEFICIENTE"</formula>
    </cfRule>
    <cfRule type="containsText" dxfId="18" priority="15" operator="containsText" text="EFICIENTE">
      <formula>NOT(ISERROR(SEARCH("EFICIENTE",B17)))</formula>
    </cfRule>
  </conditionalFormatting>
  <conditionalFormatting sqref="B18">
    <cfRule type="containsText" dxfId="17" priority="1" operator="containsText" text="DESFAVORABLE">
      <formula>NOT(ISERROR(SEARCH("DESFAVORABLE",B18)))</formula>
    </cfRule>
    <cfRule type="containsText" dxfId="16" priority="18" operator="containsText" text="MODERADAMENTE EFECTIVO">
      <formula>NOT(ISERROR(SEARCH("MODERADAMENTE EFECTIVO",B18)))</formula>
    </cfRule>
    <cfRule type="containsText" dxfId="15" priority="19" stopIfTrue="1" operator="containsText" text="INEFECTIVO">
      <formula>NOT(ISERROR(SEARCH("INEFECTIVO",B18)))</formula>
    </cfRule>
    <cfRule type="containsText" dxfId="14" priority="20" stopIfTrue="1" operator="containsText" text="EFECTIVO">
      <formula>NOT(ISERROR(SEARCH("EFECTIVO",B18)))</formula>
    </cfRule>
  </conditionalFormatting>
  <conditionalFormatting sqref="E17:L17">
    <cfRule type="containsText" dxfId="13" priority="13" operator="containsText" text="FISCAL">
      <formula>NOT(ISERROR(SEARCH("FISCAL",E17)))</formula>
    </cfRule>
  </conditionalFormatting>
  <conditionalFormatting sqref="E16:CY16">
    <cfRule type="containsText" dxfId="12" priority="2" operator="containsText" text="FISCAL">
      <formula>NOT(ISERROR(SEARCH("FISCAL",E16)))</formula>
    </cfRule>
  </conditionalFormatting>
  <conditionalFormatting sqref="N17:AE17 AG17:CY17">
    <cfRule type="containsText" dxfId="11" priority="25" operator="containsText" text="FISCAL">
      <formula>NOT(ISERROR(SEARCH("FISCAL",N17)))</formula>
    </cfRule>
  </conditionalFormatting>
  <dataValidations count="12">
    <dataValidation type="decimal" allowBlank="1" showInputMessage="1" showErrorMessage="1" error="Cuantía del detrimento de la vigencia evaluada no puedo ser mayor al valor auditado de la vigencia evaluada del contrato" sqref="E17:CY17" xr:uid="{00000000-0002-0000-1100-000000000000}">
      <formula1>0</formula1>
      <formula2>E9</formula2>
    </dataValidation>
    <dataValidation type="decimal" allowBlank="1" showInputMessage="1" showErrorMessage="1" error="El valor auditado no puede ser mayor al valor del contrato" sqref="E9:CY9" xr:uid="{00000000-0002-0000-1100-000001000000}">
      <formula1>0</formula1>
      <formula2>E8</formula2>
    </dataValidation>
    <dataValidation allowBlank="1" showInputMessage="1" showErrorMessage="1" error="Cuantía del detrimento no puedo ser mayor al valor auditado del contrato" sqref="E18:CY18" xr:uid="{00000000-0002-0000-1100-000002000000}"/>
    <dataValidation type="whole" allowBlank="1" showInputMessage="1" showErrorMessage="1" sqref="C65379:C65414" xr:uid="{00000000-0002-0000-1100-000003000000}">
      <formula1>0</formula1>
      <formula2>99999999999</formula2>
    </dataValidation>
    <dataValidation type="decimal" allowBlank="1" showInputMessage="1" showErrorMessage="1" error="Solo se deben incorporar valores entre 0 a 100 o dejar la celda en blanco. " sqref="E22:CY69" xr:uid="{00000000-0002-0000-1100-000004000000}">
      <formula1>0</formula1>
      <formula2>1</formula2>
    </dataValidation>
    <dataValidation type="decimal" allowBlank="1" showInputMessage="1" showErrorMessage="1" sqref="E8:CY8 CZ8:XFD10" xr:uid="{00000000-0002-0000-1100-000005000000}">
      <formula1>0</formula1>
      <formula2>9.99999999999999E+22</formula2>
    </dataValidation>
    <dataValidation type="list" showInputMessage="1" showErrorMessage="1" sqref="E16:CY16" xr:uid="{00000000-0002-0000-1100-000006000000}">
      <formula1>HALLAZGOS</formula1>
    </dataValidation>
    <dataValidation type="whole" allowBlank="1" showInputMessage="1" showErrorMessage="1" sqref="B7" xr:uid="{00000000-0002-0000-1100-000007000000}">
      <formula1>0</formula1>
      <formula2>999999999999999</formula2>
    </dataValidation>
    <dataValidation type="list" allowBlank="1" showInputMessage="1" showErrorMessage="1" sqref="E14:CY14" xr:uid="{00000000-0002-0000-1100-000008000000}">
      <formula1>$A$65518:$A$65524</formula1>
    </dataValidation>
    <dataValidation type="list" allowBlank="1" showInputMessage="1" showErrorMessage="1" sqref="C64:C69" xr:uid="{00000000-0002-0000-1100-000009000000}">
      <formula1>$E$115:$E$117</formula1>
    </dataValidation>
    <dataValidation type="decimal" allowBlank="1" showInputMessage="1" showErrorMessage="1" error="Cuantía del detrimento no puedo ser mayor al valor total del contrato" sqref="E20:AE20" xr:uid="{00000000-0002-0000-1100-00000A000000}">
      <formula1>0</formula1>
      <formula2>E10</formula2>
    </dataValidation>
    <dataValidation type="list" allowBlank="1" showInputMessage="1" showErrorMessage="1" sqref="E6:CY6" xr:uid="{00000000-0002-0000-1100-00000B000000}">
      <formula1>$B$93:$B$94</formula1>
    </dataValidation>
  </dataValidations>
  <pageMargins left="0.7" right="0.7" top="0.75" bottom="0.75" header="0.3" footer="0.3"/>
  <pageSetup paperSize="9" orientation="portrait" r:id="rId1"/>
  <drawing r:id="rId2"/>
  <legacyDrawing r:id="rId3"/>
  <tableParts count="5">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2:I37"/>
  <sheetViews>
    <sheetView workbookViewId="0">
      <selection activeCell="C22" sqref="C22"/>
    </sheetView>
  </sheetViews>
  <sheetFormatPr baseColWidth="10" defaultColWidth="11.42578125" defaultRowHeight="15" x14ac:dyDescent="0.25"/>
  <cols>
    <col min="1" max="2" width="31.5703125" customWidth="1"/>
    <col min="3" max="3" width="30.7109375" customWidth="1"/>
    <col min="4" max="4" width="32.28515625" style="391" customWidth="1"/>
    <col min="5" max="5" width="5.85546875" customWidth="1"/>
    <col min="6" max="6" width="31.140625" customWidth="1"/>
    <col min="7" max="7" width="28.7109375" customWidth="1"/>
    <col min="8" max="8" width="31.140625" customWidth="1"/>
    <col min="9" max="9" width="23.28515625" customWidth="1"/>
    <col min="10" max="10" width="20" customWidth="1"/>
    <col min="11" max="11" width="18.42578125" customWidth="1"/>
  </cols>
  <sheetData>
    <row r="2" spans="1:9" ht="45" x14ac:dyDescent="0.25">
      <c r="A2" s="848" t="s">
        <v>1539</v>
      </c>
      <c r="B2" s="849" t="s">
        <v>1540</v>
      </c>
      <c r="C2" s="849" t="s">
        <v>1541</v>
      </c>
      <c r="D2" s="849" t="s">
        <v>1542</v>
      </c>
      <c r="F2" s="850" t="s">
        <v>1539</v>
      </c>
      <c r="G2" s="849" t="s">
        <v>1542</v>
      </c>
      <c r="H2" s="849" t="s">
        <v>1543</v>
      </c>
      <c r="I2" s="849" t="s">
        <v>1544</v>
      </c>
    </row>
    <row r="3" spans="1:9" x14ac:dyDescent="0.25">
      <c r="A3" s="851" t="str">
        <f>+CONCATENATE(B3,C3)</f>
        <v>NegativaEfectivo</v>
      </c>
      <c r="B3" s="852" t="s">
        <v>535</v>
      </c>
      <c r="C3" s="853" t="s">
        <v>145</v>
      </c>
      <c r="D3" s="852" t="s">
        <v>1545</v>
      </c>
      <c r="F3" s="854" t="str">
        <f>+CONCATENATE(G3,H3)</f>
        <v>No RazonableNegativa</v>
      </c>
      <c r="G3" s="852" t="s">
        <v>1545</v>
      </c>
      <c r="H3" s="852" t="s">
        <v>535</v>
      </c>
      <c r="I3" s="852" t="s">
        <v>1546</v>
      </c>
    </row>
    <row r="4" spans="1:9" x14ac:dyDescent="0.25">
      <c r="A4" s="851" t="str">
        <f t="shared" ref="A4:A18" si="0">+CONCATENATE(B4,C4)</f>
        <v>NegativaModeradamente Efectivo</v>
      </c>
      <c r="B4" s="852" t="s">
        <v>535</v>
      </c>
      <c r="C4" s="855" t="s">
        <v>142</v>
      </c>
      <c r="D4" s="852" t="s">
        <v>1545</v>
      </c>
      <c r="F4" s="854" t="str">
        <f t="shared" ref="F4:F18" si="1">+CONCATENATE(G4,H4)</f>
        <v>No RazonableAbstención</v>
      </c>
      <c r="G4" s="852" t="s">
        <v>1545</v>
      </c>
      <c r="H4" s="852" t="s">
        <v>541</v>
      </c>
      <c r="I4" s="852" t="s">
        <v>1546</v>
      </c>
    </row>
    <row r="5" spans="1:9" x14ac:dyDescent="0.25">
      <c r="A5" s="851" t="str">
        <f t="shared" si="0"/>
        <v>NegativaInefectivo</v>
      </c>
      <c r="B5" s="852" t="s">
        <v>535</v>
      </c>
      <c r="C5" s="852" t="s">
        <v>130</v>
      </c>
      <c r="D5" s="852" t="s">
        <v>1545</v>
      </c>
      <c r="F5" s="854" t="str">
        <f t="shared" si="1"/>
        <v>No RazonableCon Salvedades</v>
      </c>
      <c r="G5" s="852" t="s">
        <v>1545</v>
      </c>
      <c r="H5" s="855" t="s">
        <v>531</v>
      </c>
      <c r="I5" s="852" t="s">
        <v>1546</v>
      </c>
    </row>
    <row r="6" spans="1:9" x14ac:dyDescent="0.25">
      <c r="A6" s="851" t="str">
        <f t="shared" si="0"/>
        <v>NegativaNO APLICA</v>
      </c>
      <c r="B6" s="852" t="s">
        <v>535</v>
      </c>
      <c r="C6" s="856" t="s">
        <v>459</v>
      </c>
      <c r="D6" s="852" t="s">
        <v>1545</v>
      </c>
      <c r="F6" s="854" t="str">
        <f t="shared" si="1"/>
        <v>No RazonableLimpia o Sin Salvedades</v>
      </c>
      <c r="G6" s="852" t="s">
        <v>1545</v>
      </c>
      <c r="H6" s="853" t="s">
        <v>526</v>
      </c>
      <c r="I6" s="852" t="s">
        <v>1546</v>
      </c>
    </row>
    <row r="7" spans="1:9" x14ac:dyDescent="0.25">
      <c r="A7" s="851" t="str">
        <f t="shared" si="0"/>
        <v>AbstenciónEfectivo</v>
      </c>
      <c r="B7" s="852" t="s">
        <v>541</v>
      </c>
      <c r="C7" s="853" t="s">
        <v>145</v>
      </c>
      <c r="D7" s="852" t="s">
        <v>541</v>
      </c>
      <c r="F7" s="854" t="str">
        <f t="shared" si="1"/>
        <v>AbstenciónNegativa</v>
      </c>
      <c r="G7" s="852" t="s">
        <v>541</v>
      </c>
      <c r="H7" s="852" t="s">
        <v>535</v>
      </c>
      <c r="I7" s="852" t="s">
        <v>1546</v>
      </c>
    </row>
    <row r="8" spans="1:9" x14ac:dyDescent="0.25">
      <c r="A8" s="851" t="str">
        <f t="shared" si="0"/>
        <v>AbstenciónModeradamente Efectivo</v>
      </c>
      <c r="B8" s="852" t="s">
        <v>541</v>
      </c>
      <c r="C8" s="855" t="s">
        <v>142</v>
      </c>
      <c r="D8" s="852" t="s">
        <v>541</v>
      </c>
      <c r="F8" s="854" t="str">
        <f t="shared" si="1"/>
        <v>AbstenciónAbstención</v>
      </c>
      <c r="G8" s="852" t="s">
        <v>541</v>
      </c>
      <c r="H8" s="852" t="s">
        <v>541</v>
      </c>
      <c r="I8" s="852" t="s">
        <v>1546</v>
      </c>
    </row>
    <row r="9" spans="1:9" x14ac:dyDescent="0.25">
      <c r="A9" s="851" t="str">
        <f t="shared" si="0"/>
        <v>AbstenciónInefectivo</v>
      </c>
      <c r="B9" s="852" t="s">
        <v>541</v>
      </c>
      <c r="C9" s="852" t="s">
        <v>130</v>
      </c>
      <c r="D9" s="852" t="s">
        <v>541</v>
      </c>
      <c r="F9" s="854" t="str">
        <f t="shared" si="1"/>
        <v>AbstenciónCon Salvedades</v>
      </c>
      <c r="G9" s="852" t="s">
        <v>541</v>
      </c>
      <c r="H9" s="855" t="s">
        <v>531</v>
      </c>
      <c r="I9" s="852" t="s">
        <v>1546</v>
      </c>
    </row>
    <row r="10" spans="1:9" x14ac:dyDescent="0.25">
      <c r="A10" s="851" t="str">
        <f t="shared" si="0"/>
        <v>AbstenciónNO APLICA</v>
      </c>
      <c r="B10" s="852" t="s">
        <v>541</v>
      </c>
      <c r="C10" s="856" t="s">
        <v>459</v>
      </c>
      <c r="D10" s="852" t="s">
        <v>541</v>
      </c>
      <c r="F10" s="854" t="str">
        <f t="shared" si="1"/>
        <v>AbstenciónLimpia o Sin Salvedades</v>
      </c>
      <c r="G10" s="852" t="s">
        <v>541</v>
      </c>
      <c r="H10" s="853" t="s">
        <v>526</v>
      </c>
      <c r="I10" s="852" t="s">
        <v>1546</v>
      </c>
    </row>
    <row r="11" spans="1:9" x14ac:dyDescent="0.25">
      <c r="A11" s="851" t="str">
        <f t="shared" si="0"/>
        <v>Con SalvedadesEfectivo</v>
      </c>
      <c r="B11" s="855" t="s">
        <v>531</v>
      </c>
      <c r="C11" s="853" t="s">
        <v>145</v>
      </c>
      <c r="D11" s="855" t="s">
        <v>531</v>
      </c>
      <c r="F11" s="854" t="str">
        <f t="shared" si="1"/>
        <v>Con SalvedadesNegativa</v>
      </c>
      <c r="G11" s="855" t="s">
        <v>531</v>
      </c>
      <c r="H11" s="852" t="s">
        <v>535</v>
      </c>
      <c r="I11" s="852" t="s">
        <v>1546</v>
      </c>
    </row>
    <row r="12" spans="1:9" x14ac:dyDescent="0.25">
      <c r="A12" s="851" t="str">
        <f t="shared" si="0"/>
        <v>Con SalvedadesModeradamente Efectivo</v>
      </c>
      <c r="B12" s="855" t="s">
        <v>531</v>
      </c>
      <c r="C12" s="855" t="s">
        <v>142</v>
      </c>
      <c r="D12" s="855" t="s">
        <v>531</v>
      </c>
      <c r="F12" s="854" t="str">
        <f t="shared" si="1"/>
        <v>Con SalvedadesAbstención</v>
      </c>
      <c r="G12" s="855" t="s">
        <v>531</v>
      </c>
      <c r="H12" s="852" t="s">
        <v>541</v>
      </c>
      <c r="I12" s="852" t="s">
        <v>1546</v>
      </c>
    </row>
    <row r="13" spans="1:9" x14ac:dyDescent="0.25">
      <c r="A13" s="851" t="str">
        <f t="shared" si="0"/>
        <v>Con SalvedadesInefectivo</v>
      </c>
      <c r="B13" s="855" t="s">
        <v>531</v>
      </c>
      <c r="C13" s="852" t="s">
        <v>130</v>
      </c>
      <c r="D13" s="852" t="s">
        <v>1547</v>
      </c>
      <c r="F13" s="854" t="str">
        <f t="shared" si="1"/>
        <v>Con SalvedadesCon Salvedades</v>
      </c>
      <c r="G13" s="855" t="s">
        <v>531</v>
      </c>
      <c r="H13" s="855" t="s">
        <v>531</v>
      </c>
      <c r="I13" s="857" t="s">
        <v>1548</v>
      </c>
    </row>
    <row r="14" spans="1:9" x14ac:dyDescent="0.25">
      <c r="A14" s="851" t="str">
        <f t="shared" si="0"/>
        <v>Con SalvedadesNO APLICA</v>
      </c>
      <c r="B14" s="855" t="s">
        <v>531</v>
      </c>
      <c r="C14" s="856" t="s">
        <v>459</v>
      </c>
      <c r="D14" s="855" t="s">
        <v>531</v>
      </c>
      <c r="F14" s="854" t="str">
        <f t="shared" si="1"/>
        <v>Con SalvedadesLimpia o Sin Salvedades</v>
      </c>
      <c r="G14" s="855" t="s">
        <v>531</v>
      </c>
      <c r="H14" s="853" t="s">
        <v>526</v>
      </c>
      <c r="I14" s="857" t="s">
        <v>1548</v>
      </c>
    </row>
    <row r="15" spans="1:9" x14ac:dyDescent="0.25">
      <c r="A15" s="851" t="str">
        <f t="shared" si="0"/>
        <v>Limpio o Sin SalvedadesEfectivo</v>
      </c>
      <c r="B15" s="853" t="s">
        <v>1549</v>
      </c>
      <c r="C15" s="853" t="s">
        <v>145</v>
      </c>
      <c r="D15" s="853" t="s">
        <v>838</v>
      </c>
      <c r="F15" s="854" t="str">
        <f t="shared" si="1"/>
        <v>RazonableNegativa</v>
      </c>
      <c r="G15" s="853" t="s">
        <v>838</v>
      </c>
      <c r="H15" s="852" t="s">
        <v>535</v>
      </c>
      <c r="I15" s="852" t="s">
        <v>1546</v>
      </c>
    </row>
    <row r="16" spans="1:9" x14ac:dyDescent="0.25">
      <c r="A16" s="851" t="str">
        <f t="shared" si="0"/>
        <v>Limpio o Sin SalvedadesModeradamente Efectivo</v>
      </c>
      <c r="B16" s="853" t="s">
        <v>1549</v>
      </c>
      <c r="C16" s="855" t="s">
        <v>142</v>
      </c>
      <c r="D16" s="853" t="s">
        <v>838</v>
      </c>
      <c r="F16" s="854" t="str">
        <f t="shared" si="1"/>
        <v>RazonableAbstención</v>
      </c>
      <c r="G16" s="853" t="s">
        <v>838</v>
      </c>
      <c r="H16" s="852" t="s">
        <v>541</v>
      </c>
      <c r="I16" s="852" t="s">
        <v>1546</v>
      </c>
    </row>
    <row r="17" spans="1:9" x14ac:dyDescent="0.25">
      <c r="A17" s="851" t="str">
        <f t="shared" si="0"/>
        <v>Limpio o Sin SalvedadesInefectivo</v>
      </c>
      <c r="B17" s="853" t="s">
        <v>1549</v>
      </c>
      <c r="C17" s="852" t="s">
        <v>130</v>
      </c>
      <c r="D17" s="852" t="s">
        <v>1545</v>
      </c>
      <c r="F17" s="854" t="str">
        <f t="shared" si="1"/>
        <v>RazonableCon Salvedades</v>
      </c>
      <c r="G17" s="853" t="s">
        <v>838</v>
      </c>
      <c r="H17" s="855" t="s">
        <v>531</v>
      </c>
      <c r="I17" s="857" t="s">
        <v>1548</v>
      </c>
    </row>
    <row r="18" spans="1:9" ht="15" customHeight="1" x14ac:dyDescent="0.25">
      <c r="A18" s="851" t="str">
        <f t="shared" si="0"/>
        <v>Limpio o Sin SalvedadesNO APLICA</v>
      </c>
      <c r="B18" s="853" t="s">
        <v>1549</v>
      </c>
      <c r="C18" s="856" t="s">
        <v>459</v>
      </c>
      <c r="D18" s="853" t="s">
        <v>838</v>
      </c>
      <c r="F18" s="854" t="str">
        <f t="shared" si="1"/>
        <v>RazonableLimpia o Sin Salvedades</v>
      </c>
      <c r="G18" s="853" t="s">
        <v>838</v>
      </c>
      <c r="H18" s="853" t="s">
        <v>526</v>
      </c>
      <c r="I18" s="857" t="s">
        <v>1548</v>
      </c>
    </row>
    <row r="25" spans="1:9" ht="30" x14ac:dyDescent="0.25">
      <c r="A25" s="848" t="s">
        <v>1539</v>
      </c>
      <c r="B25" s="849" t="s">
        <v>1550</v>
      </c>
      <c r="C25" s="849" t="s">
        <v>1551</v>
      </c>
      <c r="D25" s="849" t="s">
        <v>1543</v>
      </c>
    </row>
    <row r="26" spans="1:9" x14ac:dyDescent="0.25">
      <c r="A26" s="851" t="str">
        <f t="shared" ref="A26:A37" si="2">+CONCATENATE(B26,C26)</f>
        <v>NegativaEfectivo</v>
      </c>
      <c r="B26" s="852" t="s">
        <v>535</v>
      </c>
      <c r="C26" s="853" t="s">
        <v>145</v>
      </c>
      <c r="D26" s="852" t="s">
        <v>535</v>
      </c>
    </row>
    <row r="27" spans="1:9" x14ac:dyDescent="0.25">
      <c r="A27" s="851" t="str">
        <f t="shared" si="2"/>
        <v>NegativaInefectivo</v>
      </c>
      <c r="B27" s="852" t="s">
        <v>535</v>
      </c>
      <c r="C27" s="852" t="s">
        <v>130</v>
      </c>
      <c r="D27" s="852" t="s">
        <v>535</v>
      </c>
    </row>
    <row r="28" spans="1:9" x14ac:dyDescent="0.25">
      <c r="A28" s="851" t="str">
        <f t="shared" si="2"/>
        <v>NegativaNO APLICA</v>
      </c>
      <c r="B28" s="852" t="s">
        <v>535</v>
      </c>
      <c r="C28" s="855" t="s">
        <v>459</v>
      </c>
      <c r="D28" s="852" t="s">
        <v>535</v>
      </c>
    </row>
    <row r="29" spans="1:9" x14ac:dyDescent="0.25">
      <c r="A29" s="851" t="str">
        <f t="shared" si="2"/>
        <v>AbstenciónEfectivo</v>
      </c>
      <c r="B29" s="852" t="s">
        <v>541</v>
      </c>
      <c r="C29" s="853" t="s">
        <v>145</v>
      </c>
      <c r="D29" s="852" t="s">
        <v>541</v>
      </c>
    </row>
    <row r="30" spans="1:9" x14ac:dyDescent="0.25">
      <c r="A30" s="851" t="str">
        <f t="shared" si="2"/>
        <v>AbstenciónInefectivo</v>
      </c>
      <c r="B30" s="852" t="s">
        <v>541</v>
      </c>
      <c r="C30" s="852" t="s">
        <v>130</v>
      </c>
      <c r="D30" s="852" t="s">
        <v>541</v>
      </c>
    </row>
    <row r="31" spans="1:9" x14ac:dyDescent="0.25">
      <c r="A31" s="851" t="str">
        <f t="shared" si="2"/>
        <v>AbstenciónNO APLICA</v>
      </c>
      <c r="B31" s="852" t="s">
        <v>541</v>
      </c>
      <c r="C31" s="855" t="s">
        <v>459</v>
      </c>
      <c r="D31" s="852" t="s">
        <v>541</v>
      </c>
    </row>
    <row r="32" spans="1:9" x14ac:dyDescent="0.25">
      <c r="A32" s="851" t="str">
        <f t="shared" si="2"/>
        <v>Limpia o Sin SalvedadesEfectivo</v>
      </c>
      <c r="B32" s="853" t="s">
        <v>526</v>
      </c>
      <c r="C32" s="853" t="s">
        <v>145</v>
      </c>
      <c r="D32" s="853" t="s">
        <v>526</v>
      </c>
    </row>
    <row r="33" spans="1:4" x14ac:dyDescent="0.25">
      <c r="A33" s="851" t="str">
        <f t="shared" si="2"/>
        <v>Limpia o Sin SalvedadesInefectivo</v>
      </c>
      <c r="B33" s="853" t="s">
        <v>526</v>
      </c>
      <c r="C33" s="852" t="s">
        <v>130</v>
      </c>
      <c r="D33" s="853" t="s">
        <v>526</v>
      </c>
    </row>
    <row r="34" spans="1:4" x14ac:dyDescent="0.25">
      <c r="A34" s="851" t="str">
        <f t="shared" si="2"/>
        <v>Limpia o Sin SalvedadesNO APLICA</v>
      </c>
      <c r="B34" s="853" t="s">
        <v>526</v>
      </c>
      <c r="C34" s="855" t="s">
        <v>459</v>
      </c>
      <c r="D34" s="853" t="s">
        <v>526</v>
      </c>
    </row>
    <row r="35" spans="1:4" x14ac:dyDescent="0.25">
      <c r="A35" s="851" t="str">
        <f t="shared" si="2"/>
        <v>Con SalvedadesEfectivo</v>
      </c>
      <c r="B35" s="855" t="s">
        <v>531</v>
      </c>
      <c r="C35" s="853" t="s">
        <v>145</v>
      </c>
      <c r="D35" s="855" t="s">
        <v>531</v>
      </c>
    </row>
    <row r="36" spans="1:4" x14ac:dyDescent="0.25">
      <c r="A36" s="851" t="str">
        <f t="shared" si="2"/>
        <v>Con SalvedadesInefectivo</v>
      </c>
      <c r="B36" s="855" t="s">
        <v>531</v>
      </c>
      <c r="C36" s="852" t="s">
        <v>130</v>
      </c>
      <c r="D36" s="855" t="s">
        <v>531</v>
      </c>
    </row>
    <row r="37" spans="1:4" x14ac:dyDescent="0.25">
      <c r="A37" s="851" t="str">
        <f t="shared" si="2"/>
        <v>Con SalvedadesNO APLICA</v>
      </c>
      <c r="B37" s="855" t="s">
        <v>531</v>
      </c>
      <c r="C37" s="855" t="s">
        <v>459</v>
      </c>
      <c r="D37" s="855" t="s">
        <v>531</v>
      </c>
    </row>
  </sheetData>
  <sheetProtection algorithmName="SHA-512" hashValue="Q5AODiYE1X06GJnv+PZdAhh3Xt2syZK6zbCXOdKAFv2BaGci3wfQ8gPUCzDY238tPqU64pZaLFjooBu5+x5x5g==" saltValue="z7aIopNE2swL37/haXeG2A==" spinCount="100000" sheet="1" objects="1" scenarios="1"/>
  <conditionalFormatting sqref="B7:B10">
    <cfRule type="containsText" dxfId="10" priority="20" operator="containsText" text="Abstención">
      <formula>NOT(ISERROR(SEARCH("Abstención",B7)))</formula>
    </cfRule>
  </conditionalFormatting>
  <conditionalFormatting sqref="B29:B31">
    <cfRule type="containsText" dxfId="9" priority="14" operator="containsText" text="Abstención">
      <formula>NOT(ISERROR(SEARCH("Abstención",B29)))</formula>
    </cfRule>
  </conditionalFormatting>
  <conditionalFormatting sqref="D7:D10">
    <cfRule type="containsText" dxfId="8" priority="19" operator="containsText" text="Abstención">
      <formula>NOT(ISERROR(SEARCH("Abstención",D7)))</formula>
    </cfRule>
  </conditionalFormatting>
  <conditionalFormatting sqref="D29:D31">
    <cfRule type="containsText" dxfId="7" priority="12" operator="containsText" text="Abstención">
      <formula>NOT(ISERROR(SEARCH("Abstención",D29)))</formula>
    </cfRule>
  </conditionalFormatting>
  <conditionalFormatting sqref="G7:G10">
    <cfRule type="containsText" dxfId="6" priority="9" operator="containsText" text="Abstención">
      <formula>NOT(ISERROR(SEARCH("Abstención",G7)))</formula>
    </cfRule>
  </conditionalFormatting>
  <conditionalFormatting sqref="H4">
    <cfRule type="containsText" dxfId="5" priority="10" operator="containsText" text="Abstención">
      <formula>NOT(ISERROR(SEARCH("Abstención",H4)))</formula>
    </cfRule>
  </conditionalFormatting>
  <conditionalFormatting sqref="H8">
    <cfRule type="containsText" dxfId="4" priority="8" operator="containsText" text="Abstención">
      <formula>NOT(ISERROR(SEARCH("Abstención",H8)))</formula>
    </cfRule>
  </conditionalFormatting>
  <conditionalFormatting sqref="H12">
    <cfRule type="containsText" dxfId="3" priority="7" operator="containsText" text="Abstención">
      <formula>NOT(ISERROR(SEARCH("Abstención",H12)))</formula>
    </cfRule>
  </conditionalFormatting>
  <conditionalFormatting sqref="H16">
    <cfRule type="containsText" dxfId="2" priority="6" operator="containsText" text="Abstención">
      <formula>NOT(ISERROR(SEARCH("Abstención",H16)))</formula>
    </cfRule>
  </conditionalFormatting>
  <conditionalFormatting sqref="I3:I12">
    <cfRule type="containsText" dxfId="1" priority="1" operator="containsText" text="NO">
      <formula>NOT(ISERROR(SEARCH("NO",I3)))</formula>
    </cfRule>
  </conditionalFormatting>
  <conditionalFormatting sqref="I15:I16">
    <cfRule type="containsText" dxfId="0" priority="3" operator="containsText" text="NO">
      <formula>NOT(ISERROR(SEARCH("NO",I15)))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LISTAS</vt:lpstr>
      <vt:lpstr>FENECIMIENTO CUENTA</vt:lpstr>
      <vt:lpstr>LISTAS PPTO</vt:lpstr>
      <vt:lpstr>FENECIMIENTO</vt:lpstr>
      <vt:lpstr>ANALÍTICA ESTADO SITUACIÓN F</vt:lpstr>
      <vt:lpstr>ANALÍTICA ESTADO DE RESULTAD</vt:lpstr>
      <vt:lpstr>MATERIALIDAD FINANCIERA</vt:lpstr>
      <vt:lpstr>HALLAZGOS OPINIÓN_FIN</vt:lpstr>
      <vt:lpstr>HALLAZGOS OPINIÓN_FIN Otros</vt:lpstr>
      <vt:lpstr>DESEMPEÑO FINANCIERO</vt:lpstr>
      <vt:lpstr>ANALÍTICA PRESUPUESTAL</vt:lpstr>
      <vt:lpstr>MATERIALIDAD PRESUPUESTAL</vt:lpstr>
      <vt:lpstr>HALLAZGOS CONCEPTO_PRES</vt:lpstr>
      <vt:lpstr>PLANES Y PROYECTOS</vt:lpstr>
      <vt:lpstr>PLAN ESTRATÉGICO</vt:lpstr>
      <vt:lpstr>ANALÍTICAS GASTO PÚBLICO</vt:lpstr>
      <vt:lpstr>MATERIALIDAD GASTO PÚBLICO</vt:lpstr>
      <vt:lpstr>CALIFICACIÓN GASTO PÚBLICO</vt:lpstr>
      <vt:lpstr>Lista consolidado macro</vt:lpstr>
      <vt:lpstr>_ECONOMIA_CONTRATACION</vt:lpstr>
      <vt:lpstr>_EFICACIA_CONTRATACION</vt:lpstr>
      <vt:lpstr>_EFICIENCIA_CONTRATACION</vt:lpstr>
      <vt:lpstr>Base</vt:lpstr>
      <vt:lpstr>Calificacion_SCIC</vt:lpstr>
      <vt:lpstr>'CALIFICACIÓN GASTO PÚBLICO'!HALLAZGOS</vt:lpstr>
      <vt:lpstr>Muestra_Min</vt:lpstr>
      <vt:lpstr>Parametro_Min</vt:lpstr>
      <vt:lpstr>ParaminAlta</vt:lpstr>
      <vt:lpstr>ParaminBaja</vt:lpstr>
      <vt:lpstr>ParaminMedia</vt:lpstr>
      <vt:lpstr>Riesgo</vt:lpstr>
      <vt:lpstr>ValorUniverso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CONTRALORIA3</cp:lastModifiedBy>
  <cp:revision/>
  <dcterms:created xsi:type="dcterms:W3CDTF">2020-11-17T20:47:08Z</dcterms:created>
  <dcterms:modified xsi:type="dcterms:W3CDTF">2025-07-02T13:22:15Z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98db72c4-b3f2-4c33-a4c4-bd4204b5bb3e</vt:lpwstr>
  </property>
</Properties>
</file>