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ordonez\Desktop\R R 2023\R R 016 2023\procedimientos\PVCGF 04\"/>
    </mc:Choice>
  </mc:AlternateContent>
  <bookViews>
    <workbookView xWindow="0" yWindow="0" windowWidth="28800" windowHeight="11835" tabRatio="705"/>
  </bookViews>
  <sheets>
    <sheet name="ANALITICA PRESUPUESTO" sheetId="7" r:id="rId1"/>
    <sheet name="MATERIALIDAD PRESUPUESTO" sheetId="1" r:id="rId2"/>
    <sheet name="INDICADORES Y HALLAZGOS " sheetId="2" r:id="rId3"/>
    <sheet name="Instructivo" sheetId="8" state="hidden" r:id="rId4"/>
    <sheet name="LISTAS" sheetId="6" r:id="rId5"/>
  </sheets>
  <externalReferences>
    <externalReference r:id="rId6"/>
  </externalReferences>
  <definedNames>
    <definedName name="_xlnm._FilterDatabase" localSheetId="2" hidden="1">'INDICADORES Y HALLAZGOS '!$A$37:$AO$53</definedName>
    <definedName name="_xlnm._FilterDatabase" localSheetId="4" hidden="1">LISTAS!$F$2:$H$100</definedName>
    <definedName name="ejecucion_gastos">'INDICADORES Y HALLAZGOS '!#REF!</definedName>
    <definedName name="ejecucion_ingresos">'INDICADORES Y HALLAZGOS '!#REF!</definedName>
    <definedName name="ParaminAlta">'[1]MATERIALIDAD GASTO PÚBLICO'!$O$42</definedName>
    <definedName name="ParaminBaja">'[1]MATERIALIDAD GASTO PÚBLICO'!$O$40</definedName>
    <definedName name="ParaminMedia">'[1]MATERIALIDAD GASTO PÚBLICO'!$O$41</definedName>
    <definedName name="proyecto" hidden="1">#REF!</definedName>
    <definedName name="Tabla">LISTAS!$L$3:$P$9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1" i="1" l="1"/>
  <c r="B178" i="1"/>
  <c r="B175" i="1"/>
  <c r="Q89" i="7"/>
  <c r="Q90" i="7"/>
  <c r="Q91" i="7"/>
  <c r="Q92" i="7"/>
  <c r="Q93" i="7"/>
  <c r="Q94" i="7"/>
  <c r="Q95" i="7"/>
  <c r="Q96" i="7"/>
  <c r="Q88" i="7"/>
  <c r="Q50" i="7"/>
  <c r="Q51" i="7"/>
  <c r="Q52" i="7"/>
  <c r="Q53" i="7"/>
  <c r="Q54" i="7"/>
  <c r="Q55" i="7"/>
  <c r="Q56" i="7"/>
  <c r="Q57" i="7"/>
  <c r="Q58" i="7"/>
  <c r="Q59" i="7"/>
  <c r="Q60" i="7"/>
  <c r="Q61" i="7"/>
  <c r="Q62" i="7"/>
  <c r="Q63" i="7"/>
  <c r="Q64" i="7"/>
  <c r="Q65" i="7"/>
  <c r="Q66" i="7"/>
  <c r="Q67" i="7"/>
  <c r="Q68" i="7"/>
  <c r="Q69" i="7"/>
  <c r="Q70" i="7"/>
  <c r="Q71" i="7"/>
  <c r="Q72" i="7"/>
  <c r="Q73" i="7"/>
  <c r="Q74" i="7"/>
  <c r="Q75" i="7"/>
  <c r="Q76" i="7"/>
  <c r="Q77" i="7"/>
  <c r="Q78" i="7"/>
  <c r="Q79" i="7"/>
  <c r="Q80" i="7"/>
  <c r="Q81" i="7"/>
  <c r="Q82" i="7"/>
  <c r="Q83" i="7"/>
  <c r="Q49" i="7"/>
  <c r="O89" i="7"/>
  <c r="O90" i="7"/>
  <c r="O91" i="7"/>
  <c r="O92" i="7"/>
  <c r="O93" i="7"/>
  <c r="O94" i="7"/>
  <c r="O95" i="7"/>
  <c r="O96" i="7"/>
  <c r="O88"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49" i="7"/>
  <c r="M89" i="7"/>
  <c r="M90" i="7"/>
  <c r="M91" i="7"/>
  <c r="M92" i="7"/>
  <c r="M93" i="7"/>
  <c r="M94" i="7"/>
  <c r="M95" i="7"/>
  <c r="M96" i="7"/>
  <c r="M88" i="7"/>
  <c r="M50"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79" i="7"/>
  <c r="M80" i="7"/>
  <c r="M81" i="7"/>
  <c r="M82" i="7"/>
  <c r="M83" i="7"/>
  <c r="M49" i="7"/>
  <c r="O19" i="7"/>
  <c r="O20" i="7"/>
  <c r="O21" i="7"/>
  <c r="O22" i="7"/>
  <c r="O23" i="7"/>
  <c r="O24" i="7"/>
  <c r="O25" i="7"/>
  <c r="O26" i="7"/>
  <c r="O27" i="7"/>
  <c r="O28" i="7"/>
  <c r="O29" i="7"/>
  <c r="O30" i="7"/>
  <c r="O31" i="7"/>
  <c r="O32" i="7"/>
  <c r="O33" i="7"/>
  <c r="O34" i="7"/>
  <c r="O35" i="7"/>
  <c r="O36" i="7"/>
  <c r="O37" i="7"/>
  <c r="O38" i="7"/>
  <c r="O39" i="7"/>
  <c r="O40" i="7"/>
  <c r="O41" i="7"/>
  <c r="O42" i="7"/>
  <c r="O43" i="7"/>
  <c r="O44" i="7"/>
  <c r="O18" i="7"/>
  <c r="M19" i="7"/>
  <c r="M20" i="7"/>
  <c r="M21" i="7"/>
  <c r="M22" i="7"/>
  <c r="M23" i="7"/>
  <c r="M24" i="7"/>
  <c r="M25" i="7"/>
  <c r="M26" i="7"/>
  <c r="M27" i="7"/>
  <c r="M28" i="7"/>
  <c r="M29" i="7"/>
  <c r="M30" i="7"/>
  <c r="M31" i="7"/>
  <c r="M32" i="7"/>
  <c r="M33" i="7"/>
  <c r="M34" i="7"/>
  <c r="M35" i="7"/>
  <c r="M36" i="7"/>
  <c r="M37" i="7"/>
  <c r="M38" i="7"/>
  <c r="M39" i="7"/>
  <c r="M40" i="7"/>
  <c r="M41" i="7"/>
  <c r="M42" i="7"/>
  <c r="M43" i="7"/>
  <c r="M18" i="7"/>
  <c r="G96" i="7"/>
  <c r="G95" i="7"/>
  <c r="H95" i="7" s="1"/>
  <c r="G94" i="7"/>
  <c r="H94" i="7" s="1"/>
  <c r="G93" i="7"/>
  <c r="H93" i="7" s="1"/>
  <c r="G92" i="7"/>
  <c r="H92" i="7" s="1"/>
  <c r="G91" i="7"/>
  <c r="H91" i="7" s="1"/>
  <c r="G90" i="7"/>
  <c r="H90" i="7" s="1"/>
  <c r="G89" i="7"/>
  <c r="H89" i="7" s="1"/>
  <c r="G88" i="7"/>
  <c r="H88" i="7" s="1"/>
  <c r="G83" i="7"/>
  <c r="H83" i="7" s="1"/>
  <c r="G82" i="7"/>
  <c r="H82" i="7" s="1"/>
  <c r="G81" i="7"/>
  <c r="H81" i="7" s="1"/>
  <c r="G80" i="7"/>
  <c r="H80" i="7" s="1"/>
  <c r="G79" i="7"/>
  <c r="H79" i="7" s="1"/>
  <c r="G78" i="7"/>
  <c r="H78" i="7" s="1"/>
  <c r="G77" i="7"/>
  <c r="H77" i="7" s="1"/>
  <c r="G76" i="7"/>
  <c r="H76" i="7" s="1"/>
  <c r="G75" i="7"/>
  <c r="H75" i="7" s="1"/>
  <c r="G74" i="7"/>
  <c r="H74" i="7" s="1"/>
  <c r="G73" i="7"/>
  <c r="H73" i="7" s="1"/>
  <c r="G72" i="7"/>
  <c r="H72" i="7" s="1"/>
  <c r="G71" i="7"/>
  <c r="H71" i="7" s="1"/>
  <c r="G70" i="7"/>
  <c r="H70" i="7" s="1"/>
  <c r="G69" i="7"/>
  <c r="H69" i="7" s="1"/>
  <c r="G68" i="7"/>
  <c r="H68" i="7" s="1"/>
  <c r="G67" i="7"/>
  <c r="H67" i="7" s="1"/>
  <c r="G66" i="7"/>
  <c r="H66" i="7" s="1"/>
  <c r="G65" i="7"/>
  <c r="H65" i="7" s="1"/>
  <c r="G64" i="7"/>
  <c r="H64" i="7" s="1"/>
  <c r="G63" i="7"/>
  <c r="H63" i="7" s="1"/>
  <c r="G62" i="7"/>
  <c r="H62" i="7" s="1"/>
  <c r="G61" i="7"/>
  <c r="H61" i="7" s="1"/>
  <c r="G60" i="7"/>
  <c r="H60" i="7" s="1"/>
  <c r="G59" i="7"/>
  <c r="H59" i="7" s="1"/>
  <c r="G58" i="7"/>
  <c r="H58" i="7" s="1"/>
  <c r="G57" i="7"/>
  <c r="H57" i="7" s="1"/>
  <c r="G56" i="7"/>
  <c r="H56" i="7" s="1"/>
  <c r="G55" i="7"/>
  <c r="H55" i="7" s="1"/>
  <c r="G54" i="7"/>
  <c r="H54" i="7" s="1"/>
  <c r="G53" i="7"/>
  <c r="H53" i="7" s="1"/>
  <c r="G52" i="7"/>
  <c r="H52" i="7" s="1"/>
  <c r="G51" i="7"/>
  <c r="H51" i="7" s="1"/>
  <c r="G50" i="7"/>
  <c r="H50" i="7" s="1"/>
  <c r="G49" i="7"/>
  <c r="H49" i="7" s="1"/>
  <c r="G19" i="7"/>
  <c r="H19" i="7" s="1"/>
  <c r="G20" i="7"/>
  <c r="H20" i="7"/>
  <c r="G21" i="7"/>
  <c r="H21" i="7" s="1"/>
  <c r="G22" i="7"/>
  <c r="H22" i="7" s="1"/>
  <c r="G23" i="7"/>
  <c r="H23" i="7" s="1"/>
  <c r="G24" i="7"/>
  <c r="H24" i="7"/>
  <c r="G25" i="7"/>
  <c r="H25" i="7" s="1"/>
  <c r="G26" i="7"/>
  <c r="H26" i="7"/>
  <c r="G27" i="7"/>
  <c r="H27" i="7" s="1"/>
  <c r="G28" i="7"/>
  <c r="H28" i="7"/>
  <c r="G29" i="7"/>
  <c r="H29" i="7" s="1"/>
  <c r="G30" i="7"/>
  <c r="H30" i="7" s="1"/>
  <c r="G31" i="7"/>
  <c r="H31" i="7" s="1"/>
  <c r="G32" i="7"/>
  <c r="H32" i="7"/>
  <c r="G33" i="7"/>
  <c r="H33" i="7" s="1"/>
  <c r="G34" i="7"/>
  <c r="H34" i="7"/>
  <c r="G35" i="7"/>
  <c r="H35" i="7" s="1"/>
  <c r="G36" i="7"/>
  <c r="H36" i="7"/>
  <c r="G37" i="7"/>
  <c r="H37" i="7" s="1"/>
  <c r="G38" i="7"/>
  <c r="H38" i="7" s="1"/>
  <c r="G39" i="7"/>
  <c r="H39" i="7" s="1"/>
  <c r="G40" i="7"/>
  <c r="H40" i="7"/>
  <c r="G41" i="7"/>
  <c r="H41" i="7" s="1"/>
  <c r="G42" i="7"/>
  <c r="H42" i="7"/>
  <c r="G43" i="7"/>
  <c r="H43" i="7" s="1"/>
  <c r="G18" i="7"/>
  <c r="H18" i="7" s="1"/>
  <c r="F92" i="7"/>
  <c r="F93" i="7"/>
  <c r="F94" i="7"/>
  <c r="F95" i="7"/>
  <c r="F96" i="7"/>
  <c r="F91" i="7"/>
  <c r="F89" i="7"/>
  <c r="F90" i="7"/>
  <c r="F88"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49" i="7"/>
  <c r="F19" i="7"/>
  <c r="F20" i="7"/>
  <c r="F21" i="7"/>
  <c r="F22" i="7"/>
  <c r="F23" i="7"/>
  <c r="F24" i="7"/>
  <c r="F25" i="7"/>
  <c r="F26" i="7"/>
  <c r="F27" i="7"/>
  <c r="F28" i="7"/>
  <c r="F29" i="7"/>
  <c r="F30" i="7"/>
  <c r="F31" i="7"/>
  <c r="F32" i="7"/>
  <c r="F33" i="7"/>
  <c r="F34" i="7"/>
  <c r="F35" i="7"/>
  <c r="F36" i="7"/>
  <c r="F37" i="7"/>
  <c r="F38" i="7"/>
  <c r="F39" i="7"/>
  <c r="F40" i="7"/>
  <c r="F41" i="7"/>
  <c r="F42" i="7"/>
  <c r="F43" i="7"/>
  <c r="F18" i="7"/>
  <c r="D96" i="7"/>
  <c r="D89" i="7"/>
  <c r="D90" i="7"/>
  <c r="D92" i="7"/>
  <c r="D93" i="7"/>
  <c r="D94" i="7"/>
  <c r="D95" i="7"/>
  <c r="D91" i="7"/>
  <c r="D88"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49" i="7"/>
  <c r="D19" i="7"/>
  <c r="D20" i="7"/>
  <c r="D21" i="7"/>
  <c r="D22" i="7"/>
  <c r="D23" i="7"/>
  <c r="D24" i="7"/>
  <c r="D25" i="7"/>
  <c r="D26" i="7"/>
  <c r="D27" i="7"/>
  <c r="D28" i="7"/>
  <c r="D29" i="7"/>
  <c r="D30" i="7"/>
  <c r="D31" i="7"/>
  <c r="D32" i="7"/>
  <c r="D33" i="7"/>
  <c r="D34" i="7"/>
  <c r="D35" i="7"/>
  <c r="D36" i="7"/>
  <c r="D37" i="7"/>
  <c r="D38" i="7"/>
  <c r="D39" i="7"/>
  <c r="D40" i="7"/>
  <c r="D41" i="7"/>
  <c r="D42" i="7"/>
  <c r="D43" i="7"/>
  <c r="D18" i="7"/>
  <c r="AT96" i="7"/>
  <c r="AT44" i="7"/>
  <c r="H159" i="1"/>
  <c r="H160" i="1"/>
  <c r="H161" i="1"/>
  <c r="H162" i="1"/>
  <c r="H163" i="1"/>
  <c r="H164" i="1"/>
  <c r="H165" i="1"/>
  <c r="H158" i="1"/>
  <c r="E159" i="1"/>
  <c r="E160" i="1"/>
  <c r="E161" i="1"/>
  <c r="E162" i="1"/>
  <c r="E163" i="1"/>
  <c r="E164" i="1"/>
  <c r="E158" i="1"/>
  <c r="H134" i="1" l="1"/>
  <c r="H135" i="1"/>
  <c r="H136" i="1"/>
  <c r="H137" i="1"/>
  <c r="H138" i="1"/>
  <c r="H139" i="1"/>
  <c r="H140" i="1"/>
  <c r="H141" i="1"/>
  <c r="H142" i="1"/>
  <c r="H143" i="1"/>
  <c r="H144" i="1"/>
  <c r="H145" i="1"/>
  <c r="H146" i="1"/>
  <c r="H147" i="1"/>
  <c r="H148" i="1"/>
  <c r="H149" i="1"/>
  <c r="H150" i="1"/>
  <c r="H151" i="1"/>
  <c r="H152" i="1"/>
  <c r="H153" i="1"/>
  <c r="H104" i="1"/>
  <c r="H105" i="1"/>
  <c r="H106" i="1"/>
  <c r="H107" i="1"/>
  <c r="H108" i="1"/>
  <c r="H109" i="1"/>
  <c r="H110" i="1"/>
  <c r="H111"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A83" i="7"/>
  <c r="B83" i="7" s="1"/>
  <c r="D111" i="1"/>
  <c r="AP72" i="6" l="1"/>
  <c r="AP71" i="6"/>
  <c r="AP70" i="6"/>
  <c r="C78" i="2"/>
  <c r="C77" i="2"/>
  <c r="C76" i="2"/>
  <c r="C75" i="2"/>
  <c r="C74" i="2"/>
  <c r="C73" i="2"/>
  <c r="H72" i="2"/>
  <c r="C72" i="2"/>
  <c r="C71" i="2"/>
  <c r="I70" i="2"/>
  <c r="H70" i="2"/>
  <c r="H54" i="2"/>
  <c r="D31" i="2"/>
  <c r="K31" i="2" s="1"/>
  <c r="D30" i="2"/>
  <c r="K30" i="2" s="1"/>
  <c r="D29" i="2"/>
  <c r="K29" i="2" s="1"/>
  <c r="D28" i="2"/>
  <c r="K28" i="2" s="1"/>
  <c r="D27" i="2"/>
  <c r="K27" i="2" s="1"/>
  <c r="K26" i="2"/>
  <c r="K25" i="2"/>
  <c r="D24" i="2"/>
  <c r="K24" i="2" s="1"/>
  <c r="D23" i="2"/>
  <c r="K23" i="2" s="1"/>
  <c r="D22" i="2"/>
  <c r="K22" i="2" s="1"/>
  <c r="D21" i="2"/>
  <c r="K21" i="2" s="1"/>
  <c r="C9" i="2"/>
  <c r="C8" i="2" s="1"/>
  <c r="E153" i="1"/>
  <c r="D153" i="1"/>
  <c r="H133" i="1"/>
  <c r="H132" i="1"/>
  <c r="H131" i="1"/>
  <c r="H130" i="1"/>
  <c r="H129" i="1"/>
  <c r="H128" i="1"/>
  <c r="H127" i="1"/>
  <c r="H126" i="1"/>
  <c r="H125" i="1"/>
  <c r="H124" i="1"/>
  <c r="H123" i="1"/>
  <c r="H122" i="1"/>
  <c r="H121" i="1"/>
  <c r="H120" i="1"/>
  <c r="H119" i="1"/>
  <c r="E119" i="1"/>
  <c r="H103" i="1"/>
  <c r="H102" i="1"/>
  <c r="H101" i="1"/>
  <c r="H100" i="1"/>
  <c r="H99" i="1"/>
  <c r="H98" i="1"/>
  <c r="H97" i="1"/>
  <c r="H96" i="1"/>
  <c r="H95" i="1"/>
  <c r="H94" i="1"/>
  <c r="H93" i="1"/>
  <c r="H92" i="1"/>
  <c r="H91" i="1"/>
  <c r="H90" i="1"/>
  <c r="H89" i="1"/>
  <c r="H88" i="1"/>
  <c r="H87" i="1"/>
  <c r="H86" i="1"/>
  <c r="H85" i="1"/>
  <c r="E78" i="1"/>
  <c r="C181" i="1" s="1"/>
  <c r="E77" i="1"/>
  <c r="C178" i="1" s="1"/>
  <c r="E76" i="1"/>
  <c r="C175" i="1" s="1"/>
  <c r="G41" i="1"/>
  <c r="F41" i="1"/>
  <c r="E41" i="1"/>
  <c r="D41" i="1"/>
  <c r="C41" i="1"/>
  <c r="G38" i="1"/>
  <c r="F38" i="1"/>
  <c r="E38" i="1"/>
  <c r="D38" i="1"/>
  <c r="C38" i="1"/>
  <c r="C12" i="1"/>
  <c r="C11" i="1" s="1"/>
  <c r="AT99" i="7"/>
  <c r="A95" i="7"/>
  <c r="A94" i="7"/>
  <c r="A93" i="7"/>
  <c r="A92" i="7"/>
  <c r="A91" i="7"/>
  <c r="A90" i="7"/>
  <c r="A89" i="7"/>
  <c r="A88" i="7"/>
  <c r="AT83" i="7"/>
  <c r="A82" i="7"/>
  <c r="A81" i="7"/>
  <c r="A80" i="7"/>
  <c r="A79" i="7"/>
  <c r="A78" i="7"/>
  <c r="A77" i="7"/>
  <c r="A76" i="7"/>
  <c r="A75" i="7"/>
  <c r="A74" i="7"/>
  <c r="A73" i="7"/>
  <c r="A72" i="7"/>
  <c r="A71" i="7"/>
  <c r="A70" i="7"/>
  <c r="A69" i="7"/>
  <c r="A68" i="7"/>
  <c r="A67" i="7"/>
  <c r="A66" i="7"/>
  <c r="A65" i="7"/>
  <c r="A64" i="7"/>
  <c r="A63" i="7"/>
  <c r="A62" i="7"/>
  <c r="A61" i="7"/>
  <c r="A60" i="7"/>
  <c r="A59" i="7"/>
  <c r="A58" i="7"/>
  <c r="B58" i="7" s="1"/>
  <c r="D128" i="1" s="1"/>
  <c r="A57" i="7"/>
  <c r="A56" i="7"/>
  <c r="B56" i="7" s="1"/>
  <c r="D126" i="1" s="1"/>
  <c r="A55" i="7"/>
  <c r="A54" i="7"/>
  <c r="B54" i="7" s="1"/>
  <c r="D124" i="1" s="1"/>
  <c r="A53" i="7"/>
  <c r="A52" i="7"/>
  <c r="B52" i="7" s="1"/>
  <c r="D122" i="1" s="1"/>
  <c r="A51" i="7"/>
  <c r="A50" i="7"/>
  <c r="B50" i="7" s="1"/>
  <c r="D120" i="1" s="1"/>
  <c r="A49" i="7"/>
  <c r="A43" i="7"/>
  <c r="A42" i="7"/>
  <c r="A41" i="7"/>
  <c r="A40" i="7"/>
  <c r="A39" i="7"/>
  <c r="A38" i="7"/>
  <c r="B38" i="7" s="1"/>
  <c r="D105" i="1" s="1"/>
  <c r="A37" i="7"/>
  <c r="B37" i="7" s="1"/>
  <c r="D104" i="1" s="1"/>
  <c r="A36" i="7"/>
  <c r="B36" i="7" s="1"/>
  <c r="D103" i="1" s="1"/>
  <c r="A35" i="7"/>
  <c r="B35" i="7" s="1"/>
  <c r="D102" i="1" s="1"/>
  <c r="A34" i="7"/>
  <c r="B34" i="7" s="1"/>
  <c r="D101" i="1" s="1"/>
  <c r="A33" i="7"/>
  <c r="A32" i="7"/>
  <c r="A31" i="7"/>
  <c r="B31" i="7" s="1"/>
  <c r="D98" i="1" s="1"/>
  <c r="A30" i="7"/>
  <c r="B30" i="7" s="1"/>
  <c r="D97" i="1" s="1"/>
  <c r="A29" i="7"/>
  <c r="B29" i="7" s="1"/>
  <c r="D96" i="1" s="1"/>
  <c r="A28" i="7"/>
  <c r="B28" i="7" s="1"/>
  <c r="D95" i="1" s="1"/>
  <c r="A27" i="7"/>
  <c r="B27" i="7" s="1"/>
  <c r="D94" i="1" s="1"/>
  <c r="A26" i="7"/>
  <c r="A25" i="7"/>
  <c r="A24" i="7"/>
  <c r="A23" i="7"/>
  <c r="B23" i="7" s="1"/>
  <c r="D90" i="1" s="1"/>
  <c r="A22" i="7"/>
  <c r="B22" i="7" s="1"/>
  <c r="D89" i="1" s="1"/>
  <c r="A21" i="7"/>
  <c r="B21" i="7" s="1"/>
  <c r="D88" i="1" s="1"/>
  <c r="A20" i="7"/>
  <c r="B20" i="7" s="1"/>
  <c r="D87" i="1" s="1"/>
  <c r="A19" i="7"/>
  <c r="B19" i="7" s="1"/>
  <c r="D86" i="1" s="1"/>
  <c r="A18" i="7"/>
  <c r="B7" i="7"/>
  <c r="B40" i="7" l="1"/>
  <c r="D107" i="1" s="1"/>
  <c r="B60" i="7"/>
  <c r="D130" i="1" s="1"/>
  <c r="B61" i="7"/>
  <c r="D131" i="1" s="1"/>
  <c r="B62" i="7"/>
  <c r="D132" i="1" s="1"/>
  <c r="B63" i="7"/>
  <c r="D133" i="1" s="1"/>
  <c r="B64" i="7"/>
  <c r="D134" i="1" s="1"/>
  <c r="B65" i="7"/>
  <c r="D135" i="1" s="1"/>
  <c r="B66" i="7"/>
  <c r="D136" i="1" s="1"/>
  <c r="B67" i="7"/>
  <c r="D137" i="1" s="1"/>
  <c r="B68" i="7"/>
  <c r="D138" i="1" s="1"/>
  <c r="B69" i="7"/>
  <c r="D139" i="1" s="1"/>
  <c r="B70" i="7"/>
  <c r="D140" i="1" s="1"/>
  <c r="B71" i="7"/>
  <c r="D141" i="1" s="1"/>
  <c r="B72" i="7"/>
  <c r="D142" i="1" s="1"/>
  <c r="B73" i="7"/>
  <c r="D143" i="1" s="1"/>
  <c r="B74" i="7"/>
  <c r="D144" i="1" s="1"/>
  <c r="B75" i="7"/>
  <c r="D145" i="1" s="1"/>
  <c r="B76" i="7"/>
  <c r="D146" i="1" s="1"/>
  <c r="B77" i="7"/>
  <c r="D147" i="1" s="1"/>
  <c r="B78" i="7"/>
  <c r="D148" i="1" s="1"/>
  <c r="B79" i="7"/>
  <c r="D149" i="1" s="1"/>
  <c r="B80" i="7"/>
  <c r="D150" i="1" s="1"/>
  <c r="B81" i="7"/>
  <c r="D151" i="1" s="1"/>
  <c r="B82" i="7"/>
  <c r="D152" i="1" s="1"/>
  <c r="B89" i="7"/>
  <c r="D159" i="1" s="1"/>
  <c r="B91" i="7"/>
  <c r="B92" i="7"/>
  <c r="D162" i="1" s="1"/>
  <c r="B93" i="7"/>
  <c r="D163" i="1" s="1"/>
  <c r="B94" i="7"/>
  <c r="D164" i="1" s="1"/>
  <c r="B95" i="7"/>
  <c r="D165" i="1" s="1"/>
  <c r="B39" i="7"/>
  <c r="D106" i="1" s="1"/>
  <c r="B43" i="7"/>
  <c r="D110" i="1" s="1"/>
  <c r="B42" i="7"/>
  <c r="D109" i="1" s="1"/>
  <c r="B41" i="7"/>
  <c r="D108" i="1" s="1"/>
  <c r="B41" i="1"/>
  <c r="B37" i="1"/>
  <c r="B85" i="1"/>
  <c r="D71" i="2" s="1"/>
  <c r="H71" i="2" s="1"/>
  <c r="B119" i="1"/>
  <c r="D72" i="2" s="1"/>
  <c r="F72" i="2" s="1"/>
  <c r="G72" i="2" s="1"/>
  <c r="B158" i="1"/>
  <c r="B24" i="7"/>
  <c r="D91" i="1" s="1"/>
  <c r="B25" i="7"/>
  <c r="D92" i="1" s="1"/>
  <c r="B32" i="7"/>
  <c r="D99" i="1" s="1"/>
  <c r="B33" i="7"/>
  <c r="D100" i="1" s="1"/>
  <c r="B88" i="7"/>
  <c r="AT88" i="7" s="1"/>
  <c r="AT20" i="7"/>
  <c r="AT21" i="7"/>
  <c r="AT28" i="7"/>
  <c r="AT29" i="7"/>
  <c r="AT36" i="7"/>
  <c r="AT37" i="7"/>
  <c r="AT22" i="7"/>
  <c r="AT34" i="7"/>
  <c r="AT38" i="7"/>
  <c r="AT52" i="7"/>
  <c r="AT56" i="7"/>
  <c r="B18" i="7"/>
  <c r="AT23" i="7"/>
  <c r="B26" i="7"/>
  <c r="D93" i="1" s="1"/>
  <c r="AT31" i="7"/>
  <c r="B90" i="7"/>
  <c r="AT90" i="7" s="1"/>
  <c r="AT30" i="7"/>
  <c r="AT19" i="7"/>
  <c r="AT27" i="7"/>
  <c r="AT35" i="7"/>
  <c r="B49" i="7"/>
  <c r="D119" i="1" s="1"/>
  <c r="B51" i="7"/>
  <c r="D121" i="1" s="1"/>
  <c r="B53" i="7"/>
  <c r="D123" i="1" s="1"/>
  <c r="B55" i="7"/>
  <c r="D125" i="1" s="1"/>
  <c r="B57" i="7"/>
  <c r="D127" i="1" s="1"/>
  <c r="B59" i="7"/>
  <c r="D129" i="1" s="1"/>
  <c r="AT50" i="7"/>
  <c r="AT54" i="7"/>
  <c r="AT58" i="7"/>
  <c r="B40" i="1"/>
  <c r="B38" i="1"/>
  <c r="D76" i="2" l="1"/>
  <c r="D75" i="2"/>
  <c r="H75" i="2" s="1"/>
  <c r="I75" i="2" s="1"/>
  <c r="C158" i="1"/>
  <c r="D78" i="2"/>
  <c r="H78" i="2" s="1"/>
  <c r="I78" i="2" s="1"/>
  <c r="M78" i="2" s="1"/>
  <c r="D77" i="2"/>
  <c r="H77" i="2" s="1"/>
  <c r="J44" i="2"/>
  <c r="J48" i="2"/>
  <c r="J52" i="2"/>
  <c r="J39" i="2"/>
  <c r="J45" i="2"/>
  <c r="J49" i="2"/>
  <c r="J53" i="2"/>
  <c r="J43" i="2"/>
  <c r="J47" i="2"/>
  <c r="J51" i="2"/>
  <c r="J42" i="2"/>
  <c r="J46" i="2"/>
  <c r="J50" i="2"/>
  <c r="J38" i="2"/>
  <c r="D161" i="1"/>
  <c r="J40" i="2"/>
  <c r="J41" i="2"/>
  <c r="AT93" i="7"/>
  <c r="AT63" i="7"/>
  <c r="F77" i="2"/>
  <c r="G77" i="2" s="1"/>
  <c r="F71" i="2"/>
  <c r="G71" i="2" s="1"/>
  <c r="AT95" i="7"/>
  <c r="H76" i="2"/>
  <c r="AT75" i="7"/>
  <c r="AT65" i="7"/>
  <c r="AT40" i="7"/>
  <c r="F78" i="2"/>
  <c r="G78" i="2" s="1"/>
  <c r="AT81" i="7"/>
  <c r="AT71" i="7"/>
  <c r="AT39" i="7"/>
  <c r="AT94" i="7"/>
  <c r="AT92" i="7"/>
  <c r="AT79" i="7"/>
  <c r="AT73" i="7"/>
  <c r="AT67" i="7"/>
  <c r="AT91" i="7"/>
  <c r="AT42" i="7"/>
  <c r="AT77" i="7"/>
  <c r="AT69" i="7"/>
  <c r="AT61" i="7"/>
  <c r="AT41" i="7"/>
  <c r="AT43" i="7"/>
  <c r="AT82" i="7"/>
  <c r="AT80" i="7"/>
  <c r="AT78" i="7"/>
  <c r="AT76" i="7"/>
  <c r="AT74" i="7"/>
  <c r="AT72" i="7"/>
  <c r="AT70" i="7"/>
  <c r="AT68" i="7"/>
  <c r="AT66" i="7"/>
  <c r="AT64" i="7"/>
  <c r="AT62" i="7"/>
  <c r="AT60" i="7"/>
  <c r="AT89" i="7"/>
  <c r="D160" i="1"/>
  <c r="D158" i="1"/>
  <c r="E86" i="1"/>
  <c r="E98" i="1"/>
  <c r="E90" i="1"/>
  <c r="E101" i="1"/>
  <c r="C85" i="1"/>
  <c r="F106" i="1" s="1"/>
  <c r="E100" i="1"/>
  <c r="E111" i="1"/>
  <c r="E95" i="1"/>
  <c r="E110" i="1"/>
  <c r="E102" i="1"/>
  <c r="E97" i="1"/>
  <c r="E85" i="1"/>
  <c r="E96" i="1"/>
  <c r="E107" i="1"/>
  <c r="E91" i="1"/>
  <c r="E94" i="1"/>
  <c r="E109" i="1"/>
  <c r="E93" i="1"/>
  <c r="E108" i="1"/>
  <c r="E92" i="1"/>
  <c r="E103" i="1"/>
  <c r="E87" i="1"/>
  <c r="E106" i="1"/>
  <c r="E105" i="1"/>
  <c r="E89" i="1"/>
  <c r="E104" i="1"/>
  <c r="E88" i="1"/>
  <c r="E99" i="1"/>
  <c r="AT25" i="7"/>
  <c r="AT26" i="7"/>
  <c r="AT59" i="7"/>
  <c r="AT33" i="7"/>
  <c r="AT32" i="7"/>
  <c r="AT24" i="7"/>
  <c r="D85" i="1"/>
  <c r="AT18" i="7"/>
  <c r="AT51" i="7"/>
  <c r="AT55" i="7"/>
  <c r="AT49" i="7"/>
  <c r="AT53" i="7"/>
  <c r="AT57" i="7"/>
  <c r="C119" i="1"/>
  <c r="J78" i="2" l="1"/>
  <c r="F161" i="1"/>
  <c r="F165" i="1"/>
  <c r="F159" i="1"/>
  <c r="F163" i="1"/>
  <c r="F162" i="1"/>
  <c r="G162" i="1" s="1"/>
  <c r="F158" i="1"/>
  <c r="F160" i="1"/>
  <c r="G160" i="1" s="1"/>
  <c r="F164" i="1"/>
  <c r="G164" i="1" s="1"/>
  <c r="D73" i="2"/>
  <c r="H73" i="2" s="1"/>
  <c r="I73" i="2" s="1"/>
  <c r="K78" i="2"/>
  <c r="O78" i="2"/>
  <c r="L78" i="2"/>
  <c r="G165" i="1"/>
  <c r="N78" i="2"/>
  <c r="G159" i="1"/>
  <c r="D74" i="2"/>
  <c r="F74" i="2" s="1"/>
  <c r="G74" i="2" s="1"/>
  <c r="G163" i="1"/>
  <c r="G161" i="1"/>
  <c r="O75" i="2"/>
  <c r="N75" i="2"/>
  <c r="J75" i="2"/>
  <c r="M75" i="2"/>
  <c r="L75" i="2"/>
  <c r="K75" i="2"/>
  <c r="G76" i="2"/>
  <c r="F76" i="2"/>
  <c r="F75" i="2"/>
  <c r="G75" i="2"/>
  <c r="F92" i="1"/>
  <c r="F90" i="1"/>
  <c r="F111" i="1"/>
  <c r="F110" i="1"/>
  <c r="I77" i="2"/>
  <c r="I72" i="2"/>
  <c r="I71" i="2"/>
  <c r="I76" i="2"/>
  <c r="F102" i="1"/>
  <c r="F88" i="1"/>
  <c r="F99" i="1"/>
  <c r="F95" i="1"/>
  <c r="F96" i="1"/>
  <c r="F108" i="1"/>
  <c r="F105" i="1"/>
  <c r="F97" i="1"/>
  <c r="F103" i="1"/>
  <c r="F91" i="1"/>
  <c r="F94" i="1"/>
  <c r="F89" i="1"/>
  <c r="F107" i="1"/>
  <c r="F101" i="1"/>
  <c r="F93" i="1"/>
  <c r="F104" i="1"/>
  <c r="F85" i="1"/>
  <c r="F87" i="1"/>
  <c r="F98" i="1"/>
  <c r="F109" i="1"/>
  <c r="F100" i="1"/>
  <c r="F86" i="1"/>
  <c r="F149" i="1"/>
  <c r="G149" i="1" s="1"/>
  <c r="F145" i="1"/>
  <c r="G145" i="1" s="1"/>
  <c r="F141" i="1"/>
  <c r="G141" i="1" s="1"/>
  <c r="F137" i="1"/>
  <c r="G137" i="1" s="1"/>
  <c r="F133" i="1"/>
  <c r="G133" i="1" s="1"/>
  <c r="F129" i="1"/>
  <c r="G129" i="1" s="1"/>
  <c r="F125" i="1"/>
  <c r="G125" i="1" s="1"/>
  <c r="F121" i="1"/>
  <c r="G121" i="1" s="1"/>
  <c r="F152" i="1"/>
  <c r="G152" i="1" s="1"/>
  <c r="F148" i="1"/>
  <c r="G148" i="1" s="1"/>
  <c r="F144" i="1"/>
  <c r="G144" i="1" s="1"/>
  <c r="F140" i="1"/>
  <c r="G140" i="1" s="1"/>
  <c r="F136" i="1"/>
  <c r="G136" i="1" s="1"/>
  <c r="F132" i="1"/>
  <c r="G132" i="1" s="1"/>
  <c r="F128" i="1"/>
  <c r="G128" i="1" s="1"/>
  <c r="F124" i="1"/>
  <c r="G124" i="1" s="1"/>
  <c r="F120" i="1"/>
  <c r="G120" i="1" s="1"/>
  <c r="F153" i="1"/>
  <c r="G153" i="1" s="1"/>
  <c r="F150" i="1"/>
  <c r="G150" i="1" s="1"/>
  <c r="F146" i="1"/>
  <c r="G146" i="1" s="1"/>
  <c r="F134" i="1"/>
  <c r="G134" i="1" s="1"/>
  <c r="F126" i="1"/>
  <c r="G126" i="1" s="1"/>
  <c r="F151" i="1"/>
  <c r="G151" i="1" s="1"/>
  <c r="F147" i="1"/>
  <c r="G147" i="1" s="1"/>
  <c r="F143" i="1"/>
  <c r="G143" i="1" s="1"/>
  <c r="F139" i="1"/>
  <c r="G139" i="1" s="1"/>
  <c r="F135" i="1"/>
  <c r="G135" i="1" s="1"/>
  <c r="F131" i="1"/>
  <c r="G131" i="1" s="1"/>
  <c r="F127" i="1"/>
  <c r="G127" i="1" s="1"/>
  <c r="F123" i="1"/>
  <c r="G123" i="1" s="1"/>
  <c r="F119" i="1"/>
  <c r="F142" i="1"/>
  <c r="G142" i="1" s="1"/>
  <c r="F138" i="1"/>
  <c r="G138" i="1" s="1"/>
  <c r="F130" i="1"/>
  <c r="G130" i="1" s="1"/>
  <c r="F122" i="1"/>
  <c r="G122" i="1" s="1"/>
  <c r="G73" i="2" l="1"/>
  <c r="F73" i="2"/>
  <c r="D79" i="2"/>
  <c r="N73" i="2"/>
  <c r="O73" i="2"/>
  <c r="L73" i="2"/>
  <c r="G119" i="1"/>
  <c r="N72" i="2" s="1"/>
  <c r="D178" i="1"/>
  <c r="G178" i="1" s="1"/>
  <c r="G86" i="1"/>
  <c r="D175" i="1"/>
  <c r="G175" i="1" s="1"/>
  <c r="G158" i="1"/>
  <c r="D181" i="1"/>
  <c r="G181" i="1" s="1"/>
  <c r="M73" i="2"/>
  <c r="D176" i="1"/>
  <c r="J73" i="2"/>
  <c r="H74" i="2"/>
  <c r="I74" i="2" s="1"/>
  <c r="O74" i="2" s="1"/>
  <c r="F79" i="2"/>
  <c r="G79" i="2" s="1"/>
  <c r="K73" i="2"/>
  <c r="O77" i="2"/>
  <c r="N77" i="2"/>
  <c r="O76" i="2"/>
  <c r="N76" i="2"/>
  <c r="O71" i="2"/>
  <c r="O72" i="2"/>
  <c r="J76" i="2"/>
  <c r="M76" i="2"/>
  <c r="L76" i="2"/>
  <c r="K76" i="2"/>
  <c r="M71" i="2"/>
  <c r="K71" i="2"/>
  <c r="J77" i="2"/>
  <c r="M77" i="2"/>
  <c r="L77" i="2"/>
  <c r="K77" i="2"/>
  <c r="J72" i="2"/>
  <c r="M72" i="2"/>
  <c r="L72" i="2"/>
  <c r="K72" i="2"/>
  <c r="G102" i="1"/>
  <c r="G103" i="1"/>
  <c r="G91" i="1"/>
  <c r="G85" i="1"/>
  <c r="J71" i="2" s="1"/>
  <c r="G106" i="1"/>
  <c r="G92" i="1"/>
  <c r="G105" i="1"/>
  <c r="G111" i="1"/>
  <c r="G96" i="1"/>
  <c r="G99" i="1"/>
  <c r="G104" i="1"/>
  <c r="G97" i="1"/>
  <c r="G90" i="1"/>
  <c r="G87" i="1"/>
  <c r="G108" i="1"/>
  <c r="G98" i="1"/>
  <c r="G107" i="1"/>
  <c r="G89" i="1"/>
  <c r="G88" i="1"/>
  <c r="G100" i="1"/>
  <c r="G110" i="1"/>
  <c r="G94" i="1"/>
  <c r="G109" i="1"/>
  <c r="G93" i="1"/>
  <c r="G95" i="1"/>
  <c r="G101" i="1"/>
  <c r="L175" i="1" l="1"/>
  <c r="K175" i="1"/>
  <c r="I175" i="1"/>
  <c r="L181" i="1"/>
  <c r="D179" i="1"/>
  <c r="L179" i="1" s="1"/>
  <c r="D182" i="1"/>
  <c r="K182" i="1" s="1"/>
  <c r="L178" i="1"/>
  <c r="I181" i="1"/>
  <c r="I178" i="1"/>
  <c r="K181" i="1"/>
  <c r="K178" i="1"/>
  <c r="K74" i="2"/>
  <c r="E86" i="2"/>
  <c r="M74" i="2"/>
  <c r="J74" i="2"/>
  <c r="L74" i="2"/>
  <c r="L71" i="2"/>
  <c r="N71" i="2"/>
  <c r="N74" i="2"/>
  <c r="K176" i="1"/>
  <c r="I176" i="1"/>
  <c r="G176" i="1"/>
  <c r="L176" i="1"/>
  <c r="K179" i="1"/>
  <c r="L182" i="1"/>
  <c r="G182" i="1"/>
  <c r="D86" i="2"/>
  <c r="C86" i="2"/>
  <c r="E87" i="2"/>
  <c r="E88" i="2"/>
  <c r="E89" i="2"/>
  <c r="C90" i="2" l="1"/>
  <c r="I182" i="1"/>
  <c r="G179" i="1"/>
  <c r="I179" i="1"/>
  <c r="E90" i="2"/>
  <c r="D101" i="2" s="1"/>
  <c r="E101" i="2" s="1"/>
  <c r="C89" i="2"/>
  <c r="C88" i="2"/>
  <c r="C87" i="2"/>
  <c r="D89" i="2"/>
  <c r="D90" i="2"/>
  <c r="D87" i="2"/>
  <c r="D88" i="2"/>
  <c r="G100" i="2" l="1"/>
  <c r="G101" i="2" s="1"/>
  <c r="D100" i="2"/>
  <c r="E100" i="2" s="1"/>
</calcChain>
</file>

<file path=xl/sharedStrings.xml><?xml version="1.0" encoding="utf-8"?>
<sst xmlns="http://schemas.openxmlformats.org/spreadsheetml/2006/main" count="1415" uniqueCount="812">
  <si>
    <t>AUDITORIA FINANCIERA Y DE GESTIÓN</t>
  </si>
  <si>
    <t>Referenciación:</t>
  </si>
  <si>
    <t>MACROPROCESO GESTIÓN PRESUPUESTAL</t>
  </si>
  <si>
    <t>Reservas de la vigencia anterior</t>
  </si>
  <si>
    <t>Transferencias</t>
  </si>
  <si>
    <t>Gastos comprometidos</t>
  </si>
  <si>
    <t>RESULTADOS VIGENCIA ANTERIOR</t>
  </si>
  <si>
    <t>DATOS VIGENCIA ACTUAL (AÑO)</t>
  </si>
  <si>
    <t>CALIFICACIÓN</t>
  </si>
  <si>
    <t>Fenecimiento de la cuenta
auditoría anterior</t>
  </si>
  <si>
    <t>Fenecida</t>
  </si>
  <si>
    <t>Bajo</t>
  </si>
  <si>
    <t>Con deficiencias</t>
  </si>
  <si>
    <t>No fenecida</t>
  </si>
  <si>
    <t>Medio</t>
  </si>
  <si>
    <t>Otros</t>
  </si>
  <si>
    <t>Hallazgo adminsitrativos</t>
  </si>
  <si>
    <t>Alto</t>
  </si>
  <si>
    <t>Inexistente</t>
  </si>
  <si>
    <t>Sin hallazgos</t>
  </si>
  <si>
    <t>Critico</t>
  </si>
  <si>
    <t>Bases</t>
  </si>
  <si>
    <t>Criterios para establecer el porcentaje de Materialidad</t>
  </si>
  <si>
    <t>Vigencias Futuras</t>
  </si>
  <si>
    <t>Pas-Otros Distrito / Pasivos exigibles</t>
  </si>
  <si>
    <t>Hallazgos auditoria anterior</t>
  </si>
  <si>
    <t>Riesgo Residual - Macroproceso Gestión Presupuestal de la
 auditoría actual</t>
  </si>
  <si>
    <t>Suma de puntos</t>
  </si>
  <si>
    <t>Monto en Pesos</t>
  </si>
  <si>
    <t>% Materialidad establecido según nivel de Riesgo del Sujeto de Control</t>
  </si>
  <si>
    <t>Valor Materialidad en Pesos</t>
  </si>
  <si>
    <t>Sumatoria puntaje de variables y agrupaciones de los sujetos por NIVEL</t>
  </si>
  <si>
    <t>Calificación de criterios de gestión</t>
  </si>
  <si>
    <t>% Materialidad establecido según nivel de riesgo del sujeto de control</t>
  </si>
  <si>
    <t>Aspectos considerados para determinar el % de Materialidad</t>
  </si>
  <si>
    <t>MEJOR CALIFICACIÓN</t>
  </si>
  <si>
    <t>CALIFICACIÓN INTERMEDIA</t>
  </si>
  <si>
    <t>PEOR CALIFICACION</t>
  </si>
  <si>
    <t xml:space="preserve">SUMA DE LOS %(S) Y DE LOS VALORES DE LAS INCORRECCIONES MAS LAS IMPOSIBILIDADES QUE GENERAN OPINIÓN MODIFICADA SEGÚN EL NIVEL </t>
  </si>
  <si>
    <t>SIN SALVEDADES</t>
  </si>
  <si>
    <t>MATERIALES NO GENERALIZADAS = CON SALVEDADES</t>
  </si>
  <si>
    <t>MATERIALES GENERALIZADAS = NEGATIVA/ ABSTENCIÓN</t>
  </si>
  <si>
    <t>Base Seleccionada</t>
  </si>
  <si>
    <t>Monto</t>
  </si>
  <si>
    <t>Materialidad</t>
  </si>
  <si>
    <t>Valor Materialidad</t>
  </si>
  <si>
    <t>MENOR QUE 1 VEZ</t>
  </si>
  <si>
    <t>IGUAL QUE 1 Y MENOR QUE 5 VECES</t>
  </si>
  <si>
    <t>IGUAL O MAYOR QUE 5 VECES</t>
  </si>
  <si>
    <t>En %</t>
  </si>
  <si>
    <t>Menor que</t>
  </si>
  <si>
    <t>Entre</t>
  </si>
  <si>
    <t>y menor que</t>
  </si>
  <si>
    <t>En Pesos</t>
  </si>
  <si>
    <t>Conclusión</t>
  </si>
  <si>
    <t>Elaborado por:</t>
  </si>
  <si>
    <t>Cargo:</t>
  </si>
  <si>
    <t>Firma:</t>
  </si>
  <si>
    <t>Revisado por:</t>
  </si>
  <si>
    <t>Número</t>
  </si>
  <si>
    <t>Presunta
 incidencia</t>
  </si>
  <si>
    <t>Referencia P/T</t>
  </si>
  <si>
    <t>Incorrección en el Informe de Ejecución de Ingresos</t>
  </si>
  <si>
    <t>Inconsistencia en los informes</t>
  </si>
  <si>
    <t>Unidad de caja</t>
  </si>
  <si>
    <t>Información no disponible</t>
  </si>
  <si>
    <t>Sostenibilidad y Estabilidad Fiscal</t>
  </si>
  <si>
    <t>Incorrección en el Informe de Ejecución de Gastos</t>
  </si>
  <si>
    <t>Incumplimiento Normativos - Procedimientos</t>
  </si>
  <si>
    <t>Información no verificable</t>
  </si>
  <si>
    <t>n</t>
  </si>
  <si>
    <t>CONCEPTO</t>
  </si>
  <si>
    <t>CALIFICACION</t>
  </si>
  <si>
    <t>Ingresos</t>
  </si>
  <si>
    <t>Planificación</t>
  </si>
  <si>
    <t>Eficiente</t>
  </si>
  <si>
    <t>SI</t>
  </si>
  <si>
    <t>Anualidad</t>
  </si>
  <si>
    <t xml:space="preserve">Falta de Controles </t>
  </si>
  <si>
    <t>NO</t>
  </si>
  <si>
    <t>Gastos Generales</t>
  </si>
  <si>
    <t>Universalidad</t>
  </si>
  <si>
    <t>Ineficiente</t>
  </si>
  <si>
    <t>Imposibilidades en el Informe de Ejecución de Ingresos</t>
  </si>
  <si>
    <t>Imposibilidades en el Informe de Ejecución de Gastos</t>
  </si>
  <si>
    <t>Programación integral</t>
  </si>
  <si>
    <t>Especialización</t>
  </si>
  <si>
    <t>Coherencia Macroeconómica</t>
  </si>
  <si>
    <t>Inembargabilidad</t>
  </si>
  <si>
    <t>Autonomia presupuestal</t>
  </si>
  <si>
    <t>Legalidad</t>
  </si>
  <si>
    <t xml:space="preserve">100000 - DIRECCIÓN SECTOR SALUD </t>
  </si>
  <si>
    <t xml:space="preserve">110000 - DIRECCIÓN SECTOR GOBIERNO </t>
  </si>
  <si>
    <t xml:space="preserve">12000 - DIRECCIÓN DE PARTICIPACIÓN CIUDADANA Y DESARROLLO LOCAL </t>
  </si>
  <si>
    <t xml:space="preserve">120000 - DIRECCIÓN SECTOR EQUIDAD Y GÉNERO </t>
  </si>
  <si>
    <t>12101 - GERENCIA LOCAL USAQUÉN</t>
  </si>
  <si>
    <t xml:space="preserve">12102 - GERENCIA LOCAL CHAPINERO </t>
  </si>
  <si>
    <t>12103 - GERENCIA LOCAL SANTAFÉ</t>
  </si>
  <si>
    <t xml:space="preserve">12104 - GERENCIA LOCAL SAN CRISTÓBAL </t>
  </si>
  <si>
    <t xml:space="preserve">12105 - GERENCIA LOCAL USME </t>
  </si>
  <si>
    <t xml:space="preserve">12106 - GERENCIA LOCAL TUNJUELLTO </t>
  </si>
  <si>
    <t xml:space="preserve">12107 - GERENCIA LOCAL BOSA </t>
  </si>
  <si>
    <t xml:space="preserve">12108 - GERENCIA LOCAL KENNEDY </t>
  </si>
  <si>
    <t xml:space="preserve">12109 - GERENCIA LOCAL FONTIBÓN </t>
  </si>
  <si>
    <t xml:space="preserve">12110 - GERENCIA LOCAL ENGATIVÁ </t>
  </si>
  <si>
    <t xml:space="preserve">12111 - GERENCIA LOCAL SUBA </t>
  </si>
  <si>
    <t xml:space="preserve">12112 - GERENCIA LOCAL BARRIOS UNIDOS </t>
  </si>
  <si>
    <t xml:space="preserve">12113 - GERENCIA LOCAL TEUSAQUILLO </t>
  </si>
  <si>
    <t xml:space="preserve">12114 - GERENCIA LOCAL MÁRTIRES </t>
  </si>
  <si>
    <t>12115 - GERENCIA LOCAL ANTONIO NARIÑO</t>
  </si>
  <si>
    <t xml:space="preserve">12116 - GERENCIA LOCAL PUENTE ARANDA </t>
  </si>
  <si>
    <t xml:space="preserve">12117 - GERENCIA LOCAL LA CANDELARIA </t>
  </si>
  <si>
    <t>12118 - GERENCIA LOCAL RAFAEL URIBE URIBE</t>
  </si>
  <si>
    <t xml:space="preserve">12119 - GERENCIA LOCAL CIUDAD BOLIVAR </t>
  </si>
  <si>
    <t xml:space="preserve">12120 - GERENCIA LOCAL SUMAPAZ </t>
  </si>
  <si>
    <t xml:space="preserve">130000 - DIRECCIÓN SECTOR HÁBITAT Y AMBIENTE </t>
  </si>
  <si>
    <t xml:space="preserve">140000 - DIRECCIÓN SECTOR EDUCACIÓN </t>
  </si>
  <si>
    <t xml:space="preserve">150000 - DIRECCIÓN SECTOR HACIENDA </t>
  </si>
  <si>
    <t xml:space="preserve">190000 - DIRECCIÓN SECTOR DESARROLLO ECONÓMICO, INDUSTRIA Y TURISMO </t>
  </si>
  <si>
    <t xml:space="preserve">200000 - DIRECCIÓN SECTOR INTEGRACIÓN SOCIAL </t>
  </si>
  <si>
    <t xml:space="preserve">210000 - DIRECCIÓN SECTOR SERVICIOS PÚBLICOS </t>
  </si>
  <si>
    <t xml:space="preserve">220000 - DIRECCIÓN SECTOR CULTURA, RECREACIÓN Y DEPORTE </t>
  </si>
  <si>
    <t>230000 - DIRECCIÓN SECTOR SEGURIDAD, CONVIVENCIA Y JUSTICIA</t>
  </si>
  <si>
    <t xml:space="preserve">80000 - DIRECCIÓN SECTOR MOVILIDAD </t>
  </si>
  <si>
    <t xml:space="preserve">90000 - DIRECCIÓN SECTOR GESTIÓN JURIDICA </t>
  </si>
  <si>
    <t>DEPENDENCIAS</t>
  </si>
  <si>
    <t>Sujetos de Control Fiscal</t>
  </si>
  <si>
    <t xml:space="preserve">1 - Fondo de Desarrollo Local de Usaquén. </t>
  </si>
  <si>
    <t xml:space="preserve">10 - Fondo de Desarrollo Local de Engativá. </t>
  </si>
  <si>
    <t xml:space="preserve">100 - Concejo de Bogotá, D.C. </t>
  </si>
  <si>
    <t xml:space="preserve">102 - Personería de Bogotá. </t>
  </si>
  <si>
    <t xml:space="preserve">104 - Secretaría General de la Alcaldía Mayor de Bogotá, D.C. – SGAMB. </t>
  </si>
  <si>
    <t xml:space="preserve">105 - Veeduría Distrital. </t>
  </si>
  <si>
    <t xml:space="preserve">11 - Fondo de Desarrollo Local de Suba. </t>
  </si>
  <si>
    <t xml:space="preserve">110 - Secretaría Distrital de Gobierno – SDG. </t>
  </si>
  <si>
    <t xml:space="preserve">111 - Secretaría Distrital de Hacienda – SDH. </t>
  </si>
  <si>
    <t xml:space="preserve">112 - Secretaría de Educación del Distrito – SED - Fondos de Servicios Educativos de los Colegios e Instituciones adscritas a la Secretaría de Educación del Distrito. </t>
  </si>
  <si>
    <t xml:space="preserve">113 - Secretaría Distrital de Movilidad – SDM. </t>
  </si>
  <si>
    <t xml:space="preserve">114 - Secretaría Distrital de Salud – SDS. </t>
  </si>
  <si>
    <t xml:space="preserve">117 - Secretaría Distrital de Desarrollo Económico – SDDE. </t>
  </si>
  <si>
    <t xml:space="preserve">118 - Secretaría Distrital del Hábitat - SDHT. </t>
  </si>
  <si>
    <t xml:space="preserve">119 - Secretaría Distrital de Cultura, Recreación y Deporte – SDCRD. </t>
  </si>
  <si>
    <t xml:space="preserve">12 - Fondo de Desarrollo Local de Barrios Unidos. </t>
  </si>
  <si>
    <t xml:space="preserve">120 - Secretaría Distrital de Planeación – SDP. </t>
  </si>
  <si>
    <t xml:space="preserve">121 - Secretaría Distrital de la Mujer – SDM. </t>
  </si>
  <si>
    <t xml:space="preserve">122 - Secretaría Distrital de Integración Social – SDIS. </t>
  </si>
  <si>
    <t xml:space="preserve">125 - Departamento Administrativo del Servicio Civil Distrital – DASCD. </t>
  </si>
  <si>
    <t xml:space="preserve">126 - Secretaría Distrital de Ambiente – SDA. </t>
  </si>
  <si>
    <t xml:space="preserve">127 - Departamento Administrativo de la Defensoría del Espacio Público – DADEP. </t>
  </si>
  <si>
    <t xml:space="preserve">13 - Fondo de Desarrollo Local de Teusaquillo. </t>
  </si>
  <si>
    <t xml:space="preserve">131 - Unidad Administrativa Especial del Cuerpo Oficial de Bomberos de Bogotá – UAECOB. </t>
  </si>
  <si>
    <t xml:space="preserve">136 - Secretaría Jurídica Distrital – SJD. </t>
  </si>
  <si>
    <t xml:space="preserve">137 - Secretaría Distrital de Seguridad, Convivencia y Justicia – SDSCJ. </t>
  </si>
  <si>
    <t xml:space="preserve">14 - Fondo de Desarrollo Local de Los Mártires. </t>
  </si>
  <si>
    <t xml:space="preserve">15 - Fondo de Desarrollo Local de Antonio Nariño. </t>
  </si>
  <si>
    <t xml:space="preserve">16 - Fondo de Desarrollo Local de Puente Aranda. </t>
  </si>
  <si>
    <t xml:space="preserve">17 - Fondo de Desarrollo Local de La Candelaria. </t>
  </si>
  <si>
    <t xml:space="preserve">18 - Fondo de Desarrollo Local de Rafael Uribe Uribe. </t>
  </si>
  <si>
    <t xml:space="preserve">19 - Fondo de Desarrollo Local de Ciudad Bolívar. </t>
  </si>
  <si>
    <t xml:space="preserve">2 - Fondo de Desarrollo Local de Chapinero. </t>
  </si>
  <si>
    <t xml:space="preserve">20 - Fondo de Desarrollo Local de Sumapaz. </t>
  </si>
  <si>
    <t xml:space="preserve">200 - Instituto para la Economía Social – IPES. </t>
  </si>
  <si>
    <t xml:space="preserve">201 - Fondo Financiero Distrital de Salud – FFDS. </t>
  </si>
  <si>
    <t xml:space="preserve">202 - Curaduría Urbana N° 1 de Bogotá. </t>
  </si>
  <si>
    <t xml:space="preserve">203 - Instituto Distrital de Gestión de Riesgos y Cambio Climático – IDIGER. </t>
  </si>
  <si>
    <t xml:space="preserve">204 - Instituto de Desarrollo Urbano – IDU. </t>
  </si>
  <si>
    <t xml:space="preserve">205 - Curaduría Urbana N° 2 de Bogotá. </t>
  </si>
  <si>
    <t xml:space="preserve">206 - Fondo de Prestaciones Económicas, Cesantías y Pensiones – FONCEP. </t>
  </si>
  <si>
    <t xml:space="preserve">207 - Curaduría Urbana N° 4 de Bogotá. </t>
  </si>
  <si>
    <t xml:space="preserve">208 - Caja de Vivienda Popular – CVP. </t>
  </si>
  <si>
    <t xml:space="preserve">209 - Curaduría Urbana N° 3 de Bogotá. </t>
  </si>
  <si>
    <t xml:space="preserve">210 - Curaduría Urbana N° 5 de Bogotá. </t>
  </si>
  <si>
    <t xml:space="preserve">211 - Instituto Distrital de Recreación y Deporte – IDRD. </t>
  </si>
  <si>
    <t xml:space="preserve">213 - Instituto Distrital de Patrimonio Cultural – IDPC. </t>
  </si>
  <si>
    <t>214 - Instituto Distrital para la Protección de la Niñez y la Juventud – IDIPRON.</t>
  </si>
  <si>
    <t xml:space="preserve">215 - Fundación Gilberto Álzate Avendaño – FUGA. </t>
  </si>
  <si>
    <t xml:space="preserve">216 - Orquesta Filarmónica de Bogotá – OFB. </t>
  </si>
  <si>
    <t xml:space="preserve">218 - Jardín Botánico José Celestino Mutis – JBJCM. </t>
  </si>
  <si>
    <t xml:space="preserve">219 - Instituto para la Investigación Educativa y el Desarrollo Pedagógico – IDEP. </t>
  </si>
  <si>
    <t xml:space="preserve">220 - Instituto Distrital de la Participación y Acción Comunal – IDPAC. </t>
  </si>
  <si>
    <t xml:space="preserve">221 - Instituto Distrital de Turismo – IDT. </t>
  </si>
  <si>
    <t xml:space="preserve">222 - Instituto Distrital de las Artes – IDARTES. </t>
  </si>
  <si>
    <t xml:space="preserve">226 - Unidad Administrativa Especial de Catastro Distrital - UAECD  </t>
  </si>
  <si>
    <t xml:space="preserve">227 - Unidad Administrativa Especial de Rehabilitación y Mantenimiento Vial – UAERMV. </t>
  </si>
  <si>
    <t xml:space="preserve">228 - Unidad Administrativa Especial de Servicios Públicos - UAESP </t>
  </si>
  <si>
    <t xml:space="preserve">229 - Instituto Distrital de Protección y Bienestar Animal – IDPYBA. </t>
  </si>
  <si>
    <t xml:space="preserve">230 - Universidad Distrital Francisco José de Caldas. </t>
  </si>
  <si>
    <t xml:space="preserve">240 - Lotería de Bogotá. </t>
  </si>
  <si>
    <t xml:space="preserve">260 - Canal Capital. </t>
  </si>
  <si>
    <t xml:space="preserve">262 - Empresa de Transporte del Tercer Milenio - Transmilenio S.A. </t>
  </si>
  <si>
    <t xml:space="preserve">263 - Empresa de Renovación y Desarrollo Urbano de Bogotá D.C. – ERU. </t>
  </si>
  <si>
    <t xml:space="preserve">264 - Aguas de Bogotá S.A. E.S.P. </t>
  </si>
  <si>
    <t xml:space="preserve">265 - Empresa de Acueducto y Alcantarillado de Bogotá, EAAB -E.S.P.  </t>
  </si>
  <si>
    <t xml:space="preserve">266 - Metro de Bogotá S.A. </t>
  </si>
  <si>
    <t xml:space="preserve">3 - Fondo de Desarrollo Local de Santa Fe. </t>
  </si>
  <si>
    <t xml:space="preserve">311 - Terminal de Transporte S.A.  </t>
  </si>
  <si>
    <t xml:space="preserve">317 - Corporación para el Desarrollo y la Productividad Bogotá Región - INVEST IN BOGOTÁ. </t>
  </si>
  <si>
    <t xml:space="preserve">4 - Fondo de Desarrollo Local de San Cristóbal. </t>
  </si>
  <si>
    <t xml:space="preserve">423 - Subred Integrada de Servicios de Salud Centro Oriente E.S.E.   </t>
  </si>
  <si>
    <t xml:space="preserve">424 - Subred Integrada de Servicios de Salud Sur Occidente E.S.E. </t>
  </si>
  <si>
    <t xml:space="preserve">425 - Subred Integrada de Servicios de Salud Sur E.S.E. </t>
  </si>
  <si>
    <t xml:space="preserve">426 - Subred Integrada de Servicios de Salud Norte E.S.E.  </t>
  </si>
  <si>
    <t xml:space="preserve">428 - Capital Salud. Entidad promotora de salud del régimen subsidiado S.A.S. - CAPITAL SALUD EPS-S S.A.S. </t>
  </si>
  <si>
    <t xml:space="preserve">429 - Instituto Distrital de Ciencia, Biotecnología e Innovación en Salud – IDCBIS. </t>
  </si>
  <si>
    <t xml:space="preserve">430 - Entidad de Gestión Administrativa y Técnica – EGAT. </t>
  </si>
  <si>
    <t xml:space="preserve">5 - Fondo de Desarrollo Local de Usme. </t>
  </si>
  <si>
    <t xml:space="preserve">500 - Fondo Distrital para la Gestión de Riesgos y Cambio Climático de Bogotá D.C. –FONDIGER. </t>
  </si>
  <si>
    <t xml:space="preserve">515 - Corporación Maloka de Ciencia, Tecnología e Innovación – MALOKA. </t>
  </si>
  <si>
    <t xml:space="preserve">6 - Fondo de Desarrollo Local de Tunjuelito. </t>
  </si>
  <si>
    <t xml:space="preserve">7 - Fondo de Desarrollo Local de Bosa. </t>
  </si>
  <si>
    <t xml:space="preserve">702 - Compañía de Distribución y Comercialización de Energía S.A. E.S.P. CODENSA S.A. E.S.P. </t>
  </si>
  <si>
    <t xml:space="preserve">704 - Compañía Colombiana de Servicios de Valor Agregado y Telemático S.A. ESP - COLVATEL S.A E.S.P. </t>
  </si>
  <si>
    <t xml:space="preserve">705 - Empresa Generadora de Energía S.A. E.S.P. - EMGESA S.A. E.S.P. </t>
  </si>
  <si>
    <t xml:space="preserve">708 - Empresa de Telecomunicaciones de Bogotá S.A. E.S.P. </t>
  </si>
  <si>
    <t xml:space="preserve">709 - Américas Business Process Services S.A. </t>
  </si>
  <si>
    <t xml:space="preserve">710 - Grupo Energía Bogotá S.A. E.S.P. – GEB S.A. E.S.P. </t>
  </si>
  <si>
    <t xml:space="preserve">712 - VANTI S.A. ESP </t>
  </si>
  <si>
    <t xml:space="preserve">718 - Transportadora de Gas Internacional S.A. E.S.P.– TGI S.A. E.S.P. </t>
  </si>
  <si>
    <t xml:space="preserve">721 - Caudales de Colombia S.A. E.S.P. </t>
  </si>
  <si>
    <t xml:space="preserve">729 - SKYNET de Colombia S.A. E.S.P. </t>
  </si>
  <si>
    <t xml:space="preserve">8 - Fondo de Desarrollo Local de Kennedy. </t>
  </si>
  <si>
    <t xml:space="preserve">9 - Fondo de Desarrollo Local de Fontibón. </t>
  </si>
  <si>
    <t>Abstención</t>
  </si>
  <si>
    <t>GASTOS</t>
  </si>
  <si>
    <t>INGRESOS</t>
  </si>
  <si>
    <t>PAD:</t>
  </si>
  <si>
    <t>Vigencia auditada:</t>
  </si>
  <si>
    <t>Hallazgo fiscal y/o penal</t>
  </si>
  <si>
    <t>Hallazgo con incidencia disciplinaria</t>
  </si>
  <si>
    <t>Calificación Control Fiscal Interno - Macroproceso Gestión Presupuestal
audiitoría anterior</t>
  </si>
  <si>
    <t>Grado de ejecución del Ingreso</t>
  </si>
  <si>
    <t>(Valor del recaudo del periodo/Total recaudo programado en el mismo periodo) x100</t>
  </si>
  <si>
    <t>Porcentaje</t>
  </si>
  <si>
    <t>Indica el grado de recaudos de la vigencia.</t>
  </si>
  <si>
    <t>EFICACIA</t>
  </si>
  <si>
    <t>INDICADORES PRESUPUESTALES</t>
  </si>
  <si>
    <t>Nivel de desempeño presupuestal del ordenador del gasto en términos de eficacia.</t>
  </si>
  <si>
    <t>Grado de Ejecución del Gasto</t>
  </si>
  <si>
    <t>(Valor acumulado del gasto o compromisos suscritos/presupuesto definitivo en el periodo) x100</t>
  </si>
  <si>
    <t>Indica el porcentaje del presupuesto gastado o comprometido</t>
  </si>
  <si>
    <t>Grado Ejecución de Giros</t>
  </si>
  <si>
    <t>(Valor total de pagos / valor total del presupuesto comprometido) x100</t>
  </si>
  <si>
    <t>Indica el porcentaje del presupuesto efectivamente pagado por compromisos adquiridos</t>
  </si>
  <si>
    <t>Indica el porcentaje del presupuesto de reservas u obligaciones efectivamente pagadas en el periodo</t>
  </si>
  <si>
    <t xml:space="preserve">Ejecución de Vigencias Futuras </t>
  </si>
  <si>
    <t>(Valor de compromisos de vigencias futuras / Valor definitivo de vigencias futuras)x100</t>
  </si>
  <si>
    <t>Grados de compromisos de las vigencias futuras  en el periodo</t>
  </si>
  <si>
    <t xml:space="preserve">Grado de pagos de Vigencias Futuras </t>
  </si>
  <si>
    <t>(Valor de pagos o giros de vigencias futuras / Valor acumulado de compromisos de vigencias futuras)x100</t>
  </si>
  <si>
    <t>Grado de pagos de las vigencias futuras  en el periodo</t>
  </si>
  <si>
    <t>Grado Pagos Pasivos exigibles</t>
  </si>
  <si>
    <t>Indica el porcentaje de pagos realizados en la depuración de pasivos exigibles</t>
  </si>
  <si>
    <t>Representación Modificaciones Presupuestales</t>
  </si>
  <si>
    <t>(valor total modificaciones presupuestales/ valor total presupuesto definitivo) x100</t>
  </si>
  <si>
    <t>Indica el porcentaje del presupuesto que fue modificado</t>
  </si>
  <si>
    <t xml:space="preserve">Presupuesto modificado (ingresos, gastos y costos) en la vigencia evaluada, realizado(s) mediante acto administrativo (aprobación en Junta Directiva), con las respectivas justificaciones, en términos del principio de eficacia presupuestal.    </t>
  </si>
  <si>
    <t>(Total rentas pendientes de cobro en el periodo / Total rentas recaudadas en el periodo)</t>
  </si>
  <si>
    <t>Refleja el comportamiento del recaudo, es decir, la estricta y exacta gestión para el cobro y la recuperación de los impuestos y la calidad del proceso de cobro.</t>
  </si>
  <si>
    <t>Nivel de desempeño presupuestal del ordenador del gasto en términos de eficiencia.</t>
  </si>
  <si>
    <t>(valor total depuración,liberaciones, liquidación y pagos realizados en el periodo Pasivos exigibles / valor total Pasivos exigibles) x100</t>
  </si>
  <si>
    <t>BAJO</t>
  </si>
  <si>
    <t>MEDIO</t>
  </si>
  <si>
    <t>ALTO</t>
  </si>
  <si>
    <t>CON OBSERVACIONES</t>
  </si>
  <si>
    <t>Hallazgos de la auditoria del Proceso Gestión Presupuestal  anterior</t>
  </si>
  <si>
    <t>DATOS GENERALES:  EL auditor deberá diligenciar los datos generales del sujeto de control, PAD y de la auditoria Financiera y de Gestión a desarrollar, que se solicitan.</t>
  </si>
  <si>
    <t>CÓDIGO</t>
  </si>
  <si>
    <t>DEPENDENCIA</t>
  </si>
  <si>
    <t>CONCATENADO</t>
  </si>
  <si>
    <t xml:space="preserve">DIRECCIÓN SECTOR SALUD </t>
  </si>
  <si>
    <t xml:space="preserve">DIRECCIÓN SECTOR GOBIERNO </t>
  </si>
  <si>
    <t xml:space="preserve">DIRECCIÓN DE PARTICIPACIÓN CIUDADANA Y DESARROLLO LOCAL </t>
  </si>
  <si>
    <t xml:space="preserve">DIRECCIÓN SECTOR EQUIDAD Y GÉNERO </t>
  </si>
  <si>
    <t>GERENCIA LOCAL USAQUÉN</t>
  </si>
  <si>
    <t xml:space="preserve">GERENCIA LOCAL CHAPINERO </t>
  </si>
  <si>
    <t>GERENCIA LOCAL SANTAFÉ</t>
  </si>
  <si>
    <t xml:space="preserve">GERENCIA LOCAL SAN CRISTÓBAL </t>
  </si>
  <si>
    <t xml:space="preserve">GERENCIA LOCAL USME </t>
  </si>
  <si>
    <t xml:space="preserve">GERENCIA LOCAL TUNJUELLTO </t>
  </si>
  <si>
    <t xml:space="preserve">GERENCIA LOCAL BOSA </t>
  </si>
  <si>
    <t xml:space="preserve">GERENCIA LOCAL KENNEDY </t>
  </si>
  <si>
    <t xml:space="preserve">GERENCIA LOCAL FONTIBÓN </t>
  </si>
  <si>
    <t xml:space="preserve">GERENCIA LOCAL ENGATIVÁ </t>
  </si>
  <si>
    <t xml:space="preserve">GERENCIA LOCAL SUBA </t>
  </si>
  <si>
    <t xml:space="preserve">GERENCIA LOCAL BARRIOS UNIDOS </t>
  </si>
  <si>
    <t xml:space="preserve">GERENCIA LOCAL TEUSAQUILLO </t>
  </si>
  <si>
    <t xml:space="preserve">GERENCIA LOCAL MÁRTIRES </t>
  </si>
  <si>
    <t>GERENCIA LOCAL ANTONIO NARIÑO</t>
  </si>
  <si>
    <t xml:space="preserve">GERENCIA LOCAL PUENTE ARANDA </t>
  </si>
  <si>
    <t xml:space="preserve">GERENCIA LOCAL LA CANDELARIA </t>
  </si>
  <si>
    <t>GERENCIA LOCAL RAFAEL URIBE URIBE</t>
  </si>
  <si>
    <t xml:space="preserve">GERENCIA LOCAL CIUDAD BOLIVAR </t>
  </si>
  <si>
    <t xml:space="preserve">GERENCIA LOCAL SUMAPAZ </t>
  </si>
  <si>
    <t xml:space="preserve">DIRECCIÓN SECTOR HÁBITAT Y AMBIENTE </t>
  </si>
  <si>
    <t xml:space="preserve">DIRECCIÓN SECTOR EDUCACIÓN </t>
  </si>
  <si>
    <t xml:space="preserve">DIRECCIÓN SECTOR HACIENDA </t>
  </si>
  <si>
    <t xml:space="preserve">DIRECCIÓN SECTOR DESARROLLO ECONÓMICO, INDUSTRIA Y TURISMO </t>
  </si>
  <si>
    <t xml:space="preserve">DIRECCIÓN SECTOR INTEGRACIÓN SOCIAL </t>
  </si>
  <si>
    <t xml:space="preserve">DIRECCIÓN SECTOR SERVICIOS PÚBLICOS </t>
  </si>
  <si>
    <t xml:space="preserve">DIRECCIÓN SECTOR CULTURA, RECREACIÓN Y DEPORTE </t>
  </si>
  <si>
    <t>DIRECCIÓN SECTOR SEGURIDAD, CONVIVENCIA Y JUSTICIA</t>
  </si>
  <si>
    <t xml:space="preserve">DIRECCIÓN SECTOR MOVILIDAD </t>
  </si>
  <si>
    <t xml:space="preserve">DIRECCIÓN SECTOR GESTIÓN JURIDICA </t>
  </si>
  <si>
    <t>269 - Agencia de Analítica de Datos SAS - AGATA</t>
  </si>
  <si>
    <t>431 - ENEL Colombia S.A. E.S.P.</t>
  </si>
  <si>
    <t>501 -Agencia Distrital para la Educación Superior, la Ciencia y la Tecnología - ATENEA</t>
  </si>
  <si>
    <t>SUJETOS DE CONTROL FISCAL</t>
  </si>
  <si>
    <t>Dirección Sectorial:</t>
  </si>
  <si>
    <t>Código Auditoría:</t>
  </si>
  <si>
    <t>Fecha de elaboración:</t>
  </si>
  <si>
    <t>Fecha de revisión Líder:</t>
  </si>
  <si>
    <t xml:space="preserve">Valores en Pesos </t>
  </si>
  <si>
    <t>% variación</t>
  </si>
  <si>
    <t>Explicación variación y participación</t>
  </si>
  <si>
    <t>PRESUPUESTO DE INGRESOS</t>
  </si>
  <si>
    <t>PRESUPUESTO DE GASTOS</t>
  </si>
  <si>
    <t>GASTOS DE OPERACIÓN COMERCIAL</t>
  </si>
  <si>
    <t>VIGENCIAS FUTURAS</t>
  </si>
  <si>
    <t xml:space="preserve">Conclusiones generales </t>
  </si>
  <si>
    <t>Auditores:</t>
  </si>
  <si>
    <t>Gerente - Líder:</t>
  </si>
  <si>
    <t>Variación 
 absoluta</t>
  </si>
  <si>
    <t>Observaciones 
(Especialmente a compromisos y giros, entre otras)</t>
  </si>
  <si>
    <t>Muestra</t>
  </si>
  <si>
    <t>MUESTRA</t>
  </si>
  <si>
    <t>Firma</t>
  </si>
  <si>
    <t>Nombre</t>
  </si>
  <si>
    <t>Observaciones del Líder</t>
  </si>
  <si>
    <t>Sujeto de Vigilancia y Control Fiscal:</t>
  </si>
  <si>
    <t>Empresa Industrial y Comercial</t>
  </si>
  <si>
    <t>100% publica</t>
  </si>
  <si>
    <r>
      <rPr>
        <b/>
        <sz val="11"/>
        <color theme="1"/>
        <rFont val="Arial"/>
        <family val="2"/>
      </rPr>
      <t>Nota 3:</t>
    </r>
    <r>
      <rPr>
        <sz val="11"/>
        <color theme="1"/>
        <rFont val="Arial"/>
        <family val="2"/>
      </rPr>
      <t xml:space="preserve"> Se deberan considerar dentro de los criterios base para la selección de la muestra, los resultados de la aplicación del PVCGF-15-11 Matriz de Riesgos y Controles.</t>
    </r>
  </si>
  <si>
    <t>1 - Fondo de Desarrollo Local de Usaquén</t>
  </si>
  <si>
    <t>10 - Fondo de Desarrollo Local de Engativá</t>
  </si>
  <si>
    <t>102 - Personería de Bogotá</t>
  </si>
  <si>
    <t>104 - Secretaría General de la Alcaldía Mayor de Bogotá, D.C. – SGAMB</t>
  </si>
  <si>
    <t>105 - Veeduría Distrital</t>
  </si>
  <si>
    <t>11 - Fondo de Desarrollo Local de Suba</t>
  </si>
  <si>
    <t>110 - Secretaría Distrital de Gobierno – SDG</t>
  </si>
  <si>
    <t>111 - Secretaría Distrital de Hacienda – SDH</t>
  </si>
  <si>
    <t>113 - Secretaría Distrital de Movilidad – SDM</t>
  </si>
  <si>
    <t>FDL</t>
  </si>
  <si>
    <t>Unidad Administrativa Especial</t>
  </si>
  <si>
    <t>114 - Secretaría Distrital de Salud – SDS y 201 - Fondo Financiero Distrital de Salud – FFDS</t>
  </si>
  <si>
    <t>112 - Secretaría de Educación del Distrito – SED - Fondos de Servicios Educativos de los Colegios e Instituciones adscritas a la Secretaría de Educación del Distrito</t>
  </si>
  <si>
    <t>117 - Secretaría Distrital de Desarrollo Económico – SDDE</t>
  </si>
  <si>
    <t>118 - Secretaría Distrital del Hábitat - SDHT</t>
  </si>
  <si>
    <t>119 - Secretaría Distrital de Cultura, Recreación y Deporte – SDCRD</t>
  </si>
  <si>
    <t>12 - Fondo de Desarrollo Local de Barrios Unidos</t>
  </si>
  <si>
    <t>120 - Secretaría Distrital de Planeación – SDP</t>
  </si>
  <si>
    <t>121 - Secretaría Distrital de la Mujer – SDM</t>
  </si>
  <si>
    <t>122 - Secretaría Distrital de Integración Social – SDIS</t>
  </si>
  <si>
    <t>125 - Departamento Administrativo del Servicio Civil Distrital – DASCD</t>
  </si>
  <si>
    <t>126 - Secretaría Distrital de Ambiente – SDA</t>
  </si>
  <si>
    <t>127 - Departamento Administrativo de la Defensoría del Espacio Público – DADEP</t>
  </si>
  <si>
    <t>13 - Fondo de Desarrollo Local de Teusaquillo</t>
  </si>
  <si>
    <t>Mixta</t>
  </si>
  <si>
    <t>131 - Unidad Administrativa Especial del Cuerpo Oficial de Bomberos de Bogotá – UAECOB</t>
  </si>
  <si>
    <t>136 - Secretaría Jurídica Distrital – SJD</t>
  </si>
  <si>
    <t>137 - Secretaría Distrital de Seguridad, Convivencia y Justicia – SDSCJ</t>
  </si>
  <si>
    <t>14 - Fondo de Desarrollo Local de Los Mártires</t>
  </si>
  <si>
    <t>15 - Fondo de Desarrollo Local de Antonio Nariño</t>
  </si>
  <si>
    <t>16 - Fondo de Desarrollo Local de Puente Aranda</t>
  </si>
  <si>
    <t>17 - Fondo de Desarrollo Local de La Candelaria</t>
  </si>
  <si>
    <t>18 - Fondo de Desarrollo Local de Rafael Uribe Uribe</t>
  </si>
  <si>
    <t>19 - Fondo de Desarrollo Local de Ciudad Bolívar</t>
  </si>
  <si>
    <t>2 - Fondo de Desarrollo Local de Chapinero</t>
  </si>
  <si>
    <t>20 - Fondo de Desarrollo Local de Sumapaz</t>
  </si>
  <si>
    <t>200 - Instituto para la Economía Social – IPES</t>
  </si>
  <si>
    <t>202 - Curaduría Urbana N° 1 de Bogotá</t>
  </si>
  <si>
    <t>203 - Instituto Distrital de Gestión de Riesgos y Cambio Climático – IDIGER</t>
  </si>
  <si>
    <t>205 - Curaduría Urbana N° 2 de Bogotá</t>
  </si>
  <si>
    <t>Menor 50%</t>
  </si>
  <si>
    <t>Establecimiento publico</t>
  </si>
  <si>
    <t>Fondo</t>
  </si>
  <si>
    <t>204 - Instituto de Desarrollo Urbano – IDU</t>
  </si>
  <si>
    <t xml:space="preserve">206 - Fondo de Prestaciones Económicas, Cesantías y Pensiones – FONCEP </t>
  </si>
  <si>
    <t>207 - Curaduría Urbana N° 4 de Bogotá</t>
  </si>
  <si>
    <t>208 - Caja de Vivienda Popular – CVP</t>
  </si>
  <si>
    <t>209 - Curaduría Urbana N° 3 de Bogotá</t>
  </si>
  <si>
    <t>210 - Curaduría Urbana N° 5 de Bogotá</t>
  </si>
  <si>
    <t>211 - Instituto Distrital de Recreación y Deporte – IDRD</t>
  </si>
  <si>
    <t>213 - Instituto Distrital de Patrimonio Cultural – IDPC</t>
  </si>
  <si>
    <t>214 - Instituto Distrital para la Protección de la Niñez y la Juventud – IDIPRON</t>
  </si>
  <si>
    <t>215 - Fundación Gilberto Álzate Avendaño – FUGA</t>
  </si>
  <si>
    <t>216 - Orquesta Filarmónica de Bogotá – OFB</t>
  </si>
  <si>
    <t>218 - Jardín Botánico José Celestino Mutis – JBJCM</t>
  </si>
  <si>
    <t xml:space="preserve">219 - Instituto para la Investigación Educativa y el Desarrollo Pedagógico – IDEP </t>
  </si>
  <si>
    <t>220 - Instituto Distrital de la Participación y Acción Comunal – IDPAC</t>
  </si>
  <si>
    <t>221 - Instituto Distrital de Turismo – IDT</t>
  </si>
  <si>
    <t>222 - Instituto Distrital de las Artes – IDARTES</t>
  </si>
  <si>
    <t>229 - Instituto Distrital de Protección y Bienestar Animal – IDPYBA</t>
  </si>
  <si>
    <t>230 - Universidad Distrital Francisco José de Caldas</t>
  </si>
  <si>
    <t>Ente Autonomo</t>
  </si>
  <si>
    <t>Subred</t>
  </si>
  <si>
    <t>REGIMEN</t>
  </si>
  <si>
    <t>3 - Fondo de Desarrollo Local de Santa Fe</t>
  </si>
  <si>
    <t>430 - Entidad de Gestión Administrativa y Técnica – EGAT</t>
  </si>
  <si>
    <t>5 - Fondo de Desarrollo Local de Usme</t>
  </si>
  <si>
    <t xml:space="preserve">500 - Fondo Distrital para la Gestión de Riesgos y Cambio Climático de Bogotá D.C. –FONDIGER </t>
  </si>
  <si>
    <t>429 - Instituto Distrital de Ciencia, Biotecnología e Innovación en Salud – IDCBIS</t>
  </si>
  <si>
    <t>515 - Corporación Maloka de Ciencia, Tecnología e Innovación – MALOKA</t>
  </si>
  <si>
    <t>Publica con contratacion mixta</t>
  </si>
  <si>
    <t>Entidad Descentralizada</t>
  </si>
  <si>
    <t>Personal de Apoyo</t>
  </si>
  <si>
    <t>Presupuesto Inicial a Auditar</t>
  </si>
  <si>
    <t>Modificaciones</t>
  </si>
  <si>
    <t>Menos</t>
  </si>
  <si>
    <t>Más</t>
  </si>
  <si>
    <t>COMPARATIVO VIGENCIAS</t>
  </si>
  <si>
    <t>ANÁLISIS VIGENCIA ACTUAL</t>
  </si>
  <si>
    <t>BASE MATERIALIDAD</t>
  </si>
  <si>
    <t>MATERIALIDAD CUANTITATIVA PARA CONCEPTO DE GESTIÓN PRESUPUESTAL</t>
  </si>
  <si>
    <t>BASE DE ANÁLISIS</t>
  </si>
  <si>
    <t>MONTO</t>
  </si>
  <si>
    <t>Nivel de Riesgo - Proceso Presupuesto de Ingresos</t>
  </si>
  <si>
    <t>AUDITORÍA FINANCIERA Y DE GESTIÓN (o de Regularidad) ANTERIOR</t>
  </si>
  <si>
    <t>AUDITORIA ACTUAL</t>
  </si>
  <si>
    <t>Nivel de Riesgo - Proceso Presupuesto de Gastos /Presupuesto de Costos y Gastos</t>
  </si>
  <si>
    <t>Sección Informativa que no requiere ningún diligenciamiento</t>
  </si>
  <si>
    <t>Calificación Control Fiscal Interno
Proceso Gestión Presupuestal
auditoría anterior</t>
  </si>
  <si>
    <t>Riesgo Residual /combinado - Macroproceso Gestión Presupuestal de la
 auditoría actual</t>
  </si>
  <si>
    <t>Mínimo con Concepto Vig Anterior</t>
  </si>
  <si>
    <t>Mínimo SIN Concepto Vig Anterior</t>
  </si>
  <si>
    <t>Riesgo de Control</t>
  </si>
  <si>
    <t>No Hay</t>
  </si>
  <si>
    <t/>
  </si>
  <si>
    <t>MATERIALIDAD PRESUPUESTO DE INGRESOS</t>
  </si>
  <si>
    <t>UNIVERSO DE INGRESOS: Constituido por el total del presupuesto RECAUDADO, por todos los conceptos, obtenidos en la vigencia a auditar</t>
  </si>
  <si>
    <t>UNIVERSO DE RESERVAS CONSTITUIDAS / OBLIGACIONES / CUENTAS POR PAGAR: Conformado por el total de estos compromisos a 31 de Diciembre de la vigencia a auditar</t>
  </si>
  <si>
    <r>
      <t xml:space="preserve">NIVEL 1 
</t>
    </r>
    <r>
      <rPr>
        <b/>
        <sz val="10"/>
        <color theme="1"/>
        <rFont val="Arial"/>
        <family val="2"/>
      </rPr>
      <t xml:space="preserve">Sin concepto vigencia Anterior: </t>
    </r>
    <r>
      <rPr>
        <b/>
        <u/>
        <sz val="10"/>
        <color theme="1"/>
        <rFont val="Arial"/>
        <family val="2"/>
      </rPr>
      <t xml:space="preserve">Entre 4 y 7 Puntos
</t>
    </r>
    <r>
      <rPr>
        <b/>
        <sz val="10"/>
        <color theme="1"/>
        <rFont val="Arial"/>
        <family val="2"/>
      </rPr>
      <t xml:space="preserve">Con concepto vigencia Anterior: </t>
    </r>
    <r>
      <rPr>
        <b/>
        <u/>
        <sz val="10"/>
        <color theme="1"/>
        <rFont val="Arial"/>
        <family val="2"/>
      </rPr>
      <t>Entre 5 y 9 Puntos</t>
    </r>
  </si>
  <si>
    <t>NIVEL 2
Sin concepto vigencia Anterior: Entre 8 y 11 Puntos
Con concepto vigencia Anterior: Entre 10 y 14 Puntos</t>
  </si>
  <si>
    <t>NIVEL 3
Sin concepto vigencia Anterior: Entre 12 y 16 Puntos
Con concepto vigencia Anterior: Entre 15 y 20 Puntos</t>
  </si>
  <si>
    <t xml:space="preserve"> 1. CRITERIOS PARA CLASIFICACIÓN DE RIESGO DEL PROCESO GESTIÓN PRESUPUESTAL</t>
  </si>
  <si>
    <t>2. APLICACIÓN DE CRITERIOS PARA LA CLASIFICACIÓN DE RIESGO DEL SUJETO DE VIGILANCIA Y CONTROL FISCAL</t>
  </si>
  <si>
    <t>3. BASE Y PORCENTAJES REFERENTES PARA ESTABLECER LA MATERIALIDAD</t>
  </si>
  <si>
    <t>Rango de Porcentajes</t>
  </si>
  <si>
    <t>Gastos / Costos y Gastos</t>
  </si>
  <si>
    <t>Reservas Constituidas/ Obligaciones/ Cuentas por Pagar</t>
  </si>
  <si>
    <t xml:space="preserve">4. ESTRUCTURA DE NIVELES Y RANGOS PARA DETERMINAR LA MATERIALIDAD </t>
  </si>
  <si>
    <t>A partir del numeral 3 de este instructivo, se crearon tres niveles de riesgo según la sumatoria mínima y máxima de los criterios aplicados en el numeral 2 de este instructivo, para los cuales se fijaron rangos porcentuales proporcionales y a partir de estos se tomó el límite superior de cada uno de ellos, porcentaje que se aplicara a las cuentas auditadas.
Entre más alta es la sumatoria de puntos, menor será el rango porcentual y por lo tanto la materialidad. Si, por ejemplo, el sujeto auditado dispone de un control interno efectivo, y baja probabilidad de que los riesgos puedan materializarse, el nivel será uno (1) y la materialidad podrá ser mayor; por el contrario, si el control interno no es efectivo y el auditor interpreta que los riesgos puedan materializarse, se aplica un porcentaje menor.</t>
  </si>
  <si>
    <t>5. MATERIALIDAD DETERMINADA PARA LA GESTIÓN PRESUPUESTAL DEL SUJETO DE VIGILANCIA Y CONTROL FISCAL</t>
  </si>
  <si>
    <t xml:space="preserve">SELECCIÓN DE LA BASE DE ANÁLISIS PARA DETERMINAR LA MATERIALIDAD </t>
  </si>
  <si>
    <t>% Materialidad con Concepto Vig Anterior</t>
  </si>
  <si>
    <t>% Materialidad sin Concepto Vig Anterior</t>
  </si>
  <si>
    <t>MATERIALIDAD PRESUPUESTO DE GASTOS / COSTOS Y GASTOS</t>
  </si>
  <si>
    <t>Rubros y/o cuentas presupuestales de la Base seleccionada</t>
  </si>
  <si>
    <r>
      <rPr>
        <b/>
        <sz val="10"/>
        <color theme="1"/>
        <rFont val="Arial"/>
        <family val="2"/>
      </rPr>
      <t xml:space="preserve">INSTRUCCIÓN: Suma de Puntos: </t>
    </r>
    <r>
      <rPr>
        <sz val="10"/>
        <color theme="1"/>
        <rFont val="Arial"/>
        <family val="2"/>
      </rPr>
      <t xml:space="preserve">Proviene del punto 2 de la aplicación de criterios para la clasificación de riesgo del sujeto de vigilancia y control fiscal, no requiere ningún registro. </t>
    </r>
    <r>
      <rPr>
        <b/>
        <sz val="10"/>
        <color theme="1"/>
        <rFont val="Arial"/>
        <family val="2"/>
      </rPr>
      <t xml:space="preserve">% Materialidad establecido según nivel de Riesgo del Sujeto de Control: </t>
    </r>
    <r>
      <rPr>
        <sz val="10"/>
        <color theme="1"/>
        <rFont val="Arial"/>
        <family val="2"/>
      </rPr>
      <t xml:space="preserve">El instrumento determinará el % de materialidad que corresponda según la aplicación realizada. </t>
    </r>
    <r>
      <rPr>
        <b/>
        <sz val="10"/>
        <color theme="1"/>
        <rFont val="Arial"/>
        <family val="2"/>
      </rPr>
      <t xml:space="preserve">Rubros y/o cuentas presupuestales de la Base seleccionada: </t>
    </r>
    <r>
      <rPr>
        <sz val="10"/>
        <color theme="1"/>
        <rFont val="Arial"/>
        <family val="2"/>
      </rPr>
      <t>Proviene de las registradas en la Analítica de Presupuesto de Ingresos. No requiere registro se trae automaticamente de las cuentas predefinidas, salvo de aquellas que se adicionen o inserten de otras cuentas consideradas.</t>
    </r>
    <r>
      <rPr>
        <sz val="9"/>
        <color theme="1"/>
        <rFont val="Arial"/>
        <family val="2"/>
      </rPr>
      <t xml:space="preserve"> </t>
    </r>
    <r>
      <rPr>
        <b/>
        <sz val="9"/>
        <color theme="1"/>
        <rFont val="Arial"/>
        <family val="2"/>
      </rPr>
      <t>Monto en Pesos</t>
    </r>
    <r>
      <rPr>
        <sz val="9"/>
        <color theme="1"/>
        <rFont val="Arial"/>
        <family val="2"/>
      </rPr>
      <t>: proviene de los valores registrados en la Analítica de Presupuesto de Ingresos. No requie registro se trae automaticamente de las cuentas predefinidas, salvo de aquellas que se adicionen o inserten de otras cuentas consideradas.</t>
    </r>
    <r>
      <rPr>
        <b/>
        <sz val="9"/>
        <color theme="1"/>
        <rFont val="Arial"/>
        <family val="2"/>
      </rPr>
      <t xml:space="preserve"> </t>
    </r>
    <r>
      <rPr>
        <sz val="9"/>
        <color theme="1"/>
        <rFont val="Arial"/>
        <family val="2"/>
      </rPr>
      <t xml:space="preserve">Se deben registrar los valores en el formato predefinido, no copiar y pegar de otro origen. </t>
    </r>
    <r>
      <rPr>
        <b/>
        <sz val="9"/>
        <color theme="1"/>
        <rFont val="Arial"/>
        <family val="2"/>
      </rPr>
      <t xml:space="preserve">Valor Materialidad en Pesos: </t>
    </r>
    <r>
      <rPr>
        <sz val="9"/>
        <color theme="1"/>
        <rFont val="Arial"/>
        <family val="2"/>
      </rPr>
      <t xml:space="preserve">El instrumento calculará el valor de materialidad en pesos para cada cuenta registrada según el % de Materialidad determinado. </t>
    </r>
    <r>
      <rPr>
        <b/>
        <sz val="9"/>
        <color theme="1"/>
        <rFont val="Arial"/>
        <family val="2"/>
      </rPr>
      <t xml:space="preserve">Muestra: </t>
    </r>
    <r>
      <rPr>
        <sz val="9"/>
        <color theme="1"/>
        <rFont val="Arial"/>
        <family val="2"/>
      </rPr>
      <t>proviene de las cuentas seleccionadas y determinadas en el Plan de Trabajo, el instrumento la trae automáticamente de las seleccionadas en la anaítica de presupuesto salvo de aquellas que se adicionen o inserten de otras cuentas consideradas.</t>
    </r>
  </si>
  <si>
    <r>
      <rPr>
        <b/>
        <sz val="10"/>
        <color theme="1"/>
        <rFont val="Arial"/>
        <family val="2"/>
      </rPr>
      <t xml:space="preserve">INSTRUCCIÓN: Suma de Puntos: </t>
    </r>
    <r>
      <rPr>
        <sz val="10"/>
        <color theme="1"/>
        <rFont val="Arial"/>
        <family val="2"/>
      </rPr>
      <t xml:space="preserve">Proviene del punto 2 de la aplicación de criterios para la clasificación de riesgo del sujeto de vigilancia y control fiscal, no requiere ningún registro. </t>
    </r>
    <r>
      <rPr>
        <b/>
        <sz val="10"/>
        <color theme="1"/>
        <rFont val="Arial"/>
        <family val="2"/>
      </rPr>
      <t xml:space="preserve">% Materialidad establecido según nivel de Riesgo del Sujeto de Control: </t>
    </r>
    <r>
      <rPr>
        <sz val="10"/>
        <color theme="1"/>
        <rFont val="Arial"/>
        <family val="2"/>
      </rPr>
      <t xml:space="preserve">El instrumento determinará el % de materialidad que corresponda según la aplicación realizada. </t>
    </r>
    <r>
      <rPr>
        <b/>
        <sz val="10"/>
        <color theme="1"/>
        <rFont val="Arial"/>
        <family val="2"/>
      </rPr>
      <t xml:space="preserve">Rubros y/o cuentas presupuestales de la Base seleccionada: </t>
    </r>
    <r>
      <rPr>
        <sz val="10"/>
        <color theme="1"/>
        <rFont val="Arial"/>
        <family val="2"/>
      </rPr>
      <t>Proviene de las registradas en la Analítica de Presupuesto de Gastos/Costos y Gastos. No requiere registro se trae automaticamente de las cuentas predefinidas, salvo de aquellas que se adicionen o inserten de otras cuentas consideradas.</t>
    </r>
    <r>
      <rPr>
        <sz val="9"/>
        <color theme="1"/>
        <rFont val="Arial"/>
        <family val="2"/>
      </rPr>
      <t xml:space="preserve"> </t>
    </r>
    <r>
      <rPr>
        <b/>
        <sz val="9"/>
        <color theme="1"/>
        <rFont val="Arial"/>
        <family val="2"/>
      </rPr>
      <t>Monto en Pesos</t>
    </r>
    <r>
      <rPr>
        <sz val="9"/>
        <color theme="1"/>
        <rFont val="Arial"/>
        <family val="2"/>
      </rPr>
      <t>: proviene de los valores registrados en la Analítica de Presupuesto de Ingresos. No requie registro se trae automaticamente de las cuentas predefinidas, salvo de aquellas que se adicionen o inserten de otras cuentas consideradas.</t>
    </r>
    <r>
      <rPr>
        <b/>
        <sz val="9"/>
        <color theme="1"/>
        <rFont val="Arial"/>
        <family val="2"/>
      </rPr>
      <t xml:space="preserve"> </t>
    </r>
    <r>
      <rPr>
        <sz val="9"/>
        <color theme="1"/>
        <rFont val="Arial"/>
        <family val="2"/>
      </rPr>
      <t xml:space="preserve">Se deben registrar los valores en el formato predefinido, no copiar y pegar de otro origen. </t>
    </r>
    <r>
      <rPr>
        <b/>
        <sz val="9"/>
        <color theme="1"/>
        <rFont val="Arial"/>
        <family val="2"/>
      </rPr>
      <t xml:space="preserve">Valor Materialidad en Pesos: </t>
    </r>
    <r>
      <rPr>
        <sz val="9"/>
        <color theme="1"/>
        <rFont val="Arial"/>
        <family val="2"/>
      </rPr>
      <t xml:space="preserve">El instrumento calculará el valor de materialidad en pesos para cada cuenta registrada según el % de Materialidad determinado. </t>
    </r>
    <r>
      <rPr>
        <b/>
        <sz val="9"/>
        <color theme="1"/>
        <rFont val="Arial"/>
        <family val="2"/>
      </rPr>
      <t xml:space="preserve">Muestra: </t>
    </r>
    <r>
      <rPr>
        <sz val="9"/>
        <color theme="1"/>
        <rFont val="Arial"/>
        <family val="2"/>
      </rPr>
      <t>proviene de las cuentas seleccionadas y determinadas en el Plan de Trabajo, el instrumento la trae automáticamente de las seleccionadas en la anaítica de presupuesto salvo de aquellas que se adicionen o inserten de otras cuentas consideradas.</t>
    </r>
  </si>
  <si>
    <t>SIN INGRESOS</t>
  </si>
  <si>
    <t>X</t>
  </si>
  <si>
    <t>No tiene</t>
  </si>
  <si>
    <t>No Aplica</t>
  </si>
  <si>
    <r>
      <t xml:space="preserve">Clasificación presupuestal
</t>
    </r>
    <r>
      <rPr>
        <sz val="11"/>
        <color indexed="8"/>
        <rFont val="Arial"/>
        <family val="2"/>
      </rPr>
      <t>(lista desplegable)</t>
    </r>
  </si>
  <si>
    <r>
      <rPr>
        <b/>
        <sz val="11"/>
        <color theme="1"/>
        <rFont val="Arial"/>
        <family val="2"/>
      </rPr>
      <t>Nota 1:</t>
    </r>
    <r>
      <rPr>
        <sz val="11"/>
        <color theme="1"/>
        <rFont val="Arial"/>
        <family val="2"/>
      </rPr>
      <t xml:space="preserve"> Insertar tantas filas con los desplegables acorde a los resultados de la auditoría</t>
    </r>
  </si>
  <si>
    <t>Pasivos Otros Distrito</t>
  </si>
  <si>
    <t>Gastos de Operación</t>
  </si>
  <si>
    <t>Gastos Diversos</t>
  </si>
  <si>
    <t>Falta de registros</t>
  </si>
  <si>
    <t>Diferencias en registro</t>
  </si>
  <si>
    <t>Falta de gestión</t>
  </si>
  <si>
    <t>Diferencias en cifras</t>
  </si>
  <si>
    <t>Bajo Recaudo</t>
  </si>
  <si>
    <t>Recaudo Inoportuno</t>
  </si>
  <si>
    <t>Recaudo no programado</t>
  </si>
  <si>
    <t>Falta de soportes</t>
  </si>
  <si>
    <t>Registros en Rubro no pertinente</t>
  </si>
  <si>
    <t>Inconsistencia de cantidad</t>
  </si>
  <si>
    <t>Inconsistencia por clasificación</t>
  </si>
  <si>
    <r>
      <t xml:space="preserve">Origen o Causa
</t>
    </r>
    <r>
      <rPr>
        <sz val="11"/>
        <color indexed="8"/>
        <rFont val="Arial"/>
        <family val="2"/>
      </rPr>
      <t>(lista desplegable)</t>
    </r>
  </si>
  <si>
    <r>
      <t xml:space="preserve">Tipo de Hallazgo
</t>
    </r>
    <r>
      <rPr>
        <sz val="11"/>
        <color theme="1"/>
        <rFont val="Arial"/>
        <family val="2"/>
      </rPr>
      <t>(lista desplegable)</t>
    </r>
  </si>
  <si>
    <t>Administrativo</t>
  </si>
  <si>
    <t>Con Posible Incidencia Disciplinaria</t>
  </si>
  <si>
    <t>Con Posible Incidencia Disciplinaria y Penal</t>
  </si>
  <si>
    <t>Con Posible Incidencia Penal</t>
  </si>
  <si>
    <t>Con Incidencia Fiscal</t>
  </si>
  <si>
    <t>Con Incidencia Fiscal y posible Disciplinaria</t>
  </si>
  <si>
    <t>Con Incidencia Fiscal y posible Penal</t>
  </si>
  <si>
    <t>Con Incidencia Fiscal y posible Disciplinaria y Penal</t>
  </si>
  <si>
    <r>
      <t xml:space="preserve">Principios
</t>
    </r>
    <r>
      <rPr>
        <sz val="11"/>
        <color theme="1"/>
        <rFont val="Arial"/>
        <family val="2"/>
      </rPr>
      <t>(lista desplegable)</t>
    </r>
  </si>
  <si>
    <t>Totales</t>
  </si>
  <si>
    <t>Baja Ejecución</t>
  </si>
  <si>
    <t>Incumplimiento en el Recaudo</t>
  </si>
  <si>
    <t>Rango de Calificación</t>
  </si>
  <si>
    <t>&gt;=</t>
  </si>
  <si>
    <t>&lt;</t>
  </si>
  <si>
    <t>PRINCIPIO DE LA GESTIÓN FISCAL</t>
  </si>
  <si>
    <t>TIPO DE INDICADOR</t>
  </si>
  <si>
    <t xml:space="preserve">INTERPRETACIÓN DE RESULTADO POR TIPO DE INDICADOR </t>
  </si>
  <si>
    <t>RESULTADO DE LA GESTION FISCAL</t>
  </si>
  <si>
    <t>NOMBRE</t>
  </si>
  <si>
    <t>FORMULA</t>
  </si>
  <si>
    <t>RESULTADOS DE LA APLICACIÓN DE LA FORMULA</t>
  </si>
  <si>
    <t>UNIDAD DE MEDIDA DEL RESULTADO</t>
  </si>
  <si>
    <t>INTERPRETACIÓN DEL INDICADOR</t>
  </si>
  <si>
    <t>INDICADORES</t>
  </si>
  <si>
    <t xml:space="preserve">Gestión presupuestal de ingresos en relación con el nivel de recaudo (operacionales y no operacionales) en la vigencia evaluada, teniendo en cuenta el análisis comparativo con año(s) anteriores.  </t>
  </si>
  <si>
    <t xml:space="preserve">Gestión presupuestal de gastos (costos) que se relaciona con: Valor acumulado del gasto  o compromisos suscritos,. Teniendo en cuenta el análisis comparativo con año(s) anterior(es). </t>
  </si>
  <si>
    <t xml:space="preserve">Gestión presupuestal de gastos (costos) que se relaciona con: Valor acumulado del presupuesto efectivamente pagado. Teniendo en cuenta el análisis comparativo con año(s) anterior(es). </t>
  </si>
  <si>
    <t xml:space="preserve">Gestión presupuestal de gastos (costos) que se relaciona con: Valor acumulado de reservas u obligaciones constituidas al cierre de la vigencia (Acuerdo 5 de 1998 Concejo de Bogotá) pagadas durante la misma vigencia fiscal. Teniendo en cuenta el análisis comparativo con año(s) anterior(es). </t>
  </si>
  <si>
    <t xml:space="preserve">Gestión presupuestal de gastos (costos) que se relaciona con: Pagos efectivamente realizados de Vigencias Futuras en la vigencia a auditar.. Teniendo en cuenta el análisis comparativo con año(s) anterior(es) si las hubo. </t>
  </si>
  <si>
    <t xml:space="preserve">Gestión presupuestal de gastos (costos) que se relaciona con: Valor acumulado de Vigencias Futuras en la vigencia a auditar . Teniendo en cuenta el análisis comparativo con año(s) anterior(es) si las hubo. </t>
  </si>
  <si>
    <t>Indica el porcentaje de reservas por presupuesto de funcionamiento e Inversión (Acuerdo 5 de 1998 Concejo de Bogotá)</t>
  </si>
  <si>
    <t xml:space="preserve">Gestión presupuestal de gastos (costos) que se relaciona con: Valor de las Reservas constituidas de la vigencia a auditar, teniendo en cuenta los requisitos de constitución y el monto limite establecido para funcionamiento e inversión en el Acuerdo 5 de 1998, Concejo de Bogotá. Teniendo en cuenta el análisis comparativo con año(s) anterior(es). </t>
  </si>
  <si>
    <t xml:space="preserve">Gestión presupuestal de gastos (costos) que se relaciona con: La Gestión presupuestal de depuración de los Pasivos Exigibles en la vigencia a auditar. Teniendo en cuenta el análisis comparativo con año(s) anterior(es). </t>
  </si>
  <si>
    <t>Eficacia en el recaudo</t>
  </si>
  <si>
    <t>EFICACIA Y CRECIMIENTO DEL RECAUDO</t>
  </si>
  <si>
    <r>
      <rPr>
        <b/>
        <sz val="10"/>
        <color indexed="8"/>
        <rFont val="Arial"/>
        <family val="2"/>
      </rPr>
      <t>Eficacia y crecimiento del recaudo:</t>
    </r>
    <r>
      <rPr>
        <sz val="10"/>
        <color indexed="8"/>
        <rFont val="Arial"/>
        <family val="2"/>
      </rPr>
      <t xml:space="preserve"> Gestión del recaudo producto del crecimiento en las rentas por cobrar, para satisfacer las necesidades de la comunidad, en términos de eficiencia y eficacia.</t>
    </r>
  </si>
  <si>
    <t>PRINCIPIO</t>
  </si>
  <si>
    <t>RESULTADO</t>
  </si>
  <si>
    <t>CLASIFICACIÓN PRESUPUESTAL</t>
  </si>
  <si>
    <t>CLASIFICACION PRESUPUESTAL</t>
  </si>
  <si>
    <t>RESERVAS CONSTITUIDAS / OBLIGACIONES / CUENTAS POR PAGAR</t>
  </si>
  <si>
    <t>PASIVOS EXIGIBLES</t>
  </si>
  <si>
    <t xml:space="preserve">Grado ejecución de Reservas presupuestales u obligaciones/cuentas por pagar </t>
  </si>
  <si>
    <t>(valor total de pagos de reservas, obligaciones o cuentas por pagar realizados en el periodo / valor definitivo de reservas en el periodo) x100</t>
  </si>
  <si>
    <t>Reservas Constituidas de Inversión</t>
  </si>
  <si>
    <t>Reservas Constituidas de Funcionamiento</t>
  </si>
  <si>
    <t>(valor total de las reservas constituidas por Inversión en el periodo / valor Ppto definitivo de Inversión del año anterior) x100</t>
  </si>
  <si>
    <t>(valor total de las reservas constituidas por Funcionamiento en el periodo / valor Ppto definitivo de Funcionamiento del año anterior) x100</t>
  </si>
  <si>
    <t xml:space="preserve">TOTALES </t>
  </si>
  <si>
    <t>Afectación por Tipo de Hallazgo</t>
  </si>
  <si>
    <t>Sin Hallazgos</t>
  </si>
  <si>
    <t>RESULTADO
con Afectación de Hallazgos</t>
  </si>
  <si>
    <t>EFICAZ</t>
  </si>
  <si>
    <t>INEFICAZ</t>
  </si>
  <si>
    <t>ABSTENCIÓN</t>
  </si>
  <si>
    <t>El Auditor no conto con información o tiene incertidumbre relevante de la información reflejada en los informes presupuestales</t>
  </si>
  <si>
    <t>Numeral del hallazgo(s) en Informe Final</t>
  </si>
  <si>
    <r>
      <t xml:space="preserve">Clasificación presupuestal
</t>
    </r>
    <r>
      <rPr>
        <sz val="10"/>
        <color theme="0"/>
        <rFont val="Arial"/>
        <family val="2"/>
      </rPr>
      <t>(lista desplegable)</t>
    </r>
  </si>
  <si>
    <r>
      <t xml:space="preserve">Origen o Causa
</t>
    </r>
    <r>
      <rPr>
        <sz val="10"/>
        <color theme="0"/>
        <rFont val="Arial"/>
        <family val="2"/>
      </rPr>
      <t>(lista desplegable)</t>
    </r>
  </si>
  <si>
    <r>
      <t xml:space="preserve">Principio Presupuestal afectado
</t>
    </r>
    <r>
      <rPr>
        <sz val="10"/>
        <color theme="0"/>
        <rFont val="Arial"/>
        <family val="2"/>
      </rPr>
      <t>(lista desplegable)</t>
    </r>
  </si>
  <si>
    <r>
      <t xml:space="preserve">Resumen de la Observación o Hallazgo
</t>
    </r>
    <r>
      <rPr>
        <sz val="11"/>
        <color theme="0"/>
        <rFont val="Arial"/>
        <family val="2"/>
      </rPr>
      <t>(texto)</t>
    </r>
  </si>
  <si>
    <r>
      <rPr>
        <b/>
        <sz val="11"/>
        <color theme="1"/>
        <rFont val="Arial"/>
        <family val="2"/>
      </rPr>
      <t>Nota 4</t>
    </r>
    <r>
      <rPr>
        <sz val="11"/>
        <color theme="1"/>
        <rFont val="Arial"/>
        <family val="2"/>
      </rPr>
      <t>: Se pueden agregar filas debajo de la primera y antes de la última fila de cada grupo de Ingresos o Gastos; para efectos de no alterar la formulación</t>
    </r>
  </si>
  <si>
    <t>CALIFICACION POR INDICADORES Y HALLAZGOS POR PRINCIPIO</t>
  </si>
  <si>
    <t xml:space="preserve">RESERVAS CONSTITUIDAS </t>
  </si>
  <si>
    <t>OBLIGACIONES POR PAGAR</t>
  </si>
  <si>
    <t>CUENTAS POR PAGAR</t>
  </si>
  <si>
    <t xml:space="preserve">Presupuesto vigente
(vigencia anterior) </t>
  </si>
  <si>
    <t>% Participación Presupuesto vigente
(vigencia anterior)</t>
  </si>
  <si>
    <t>% Participación
Presupuesto definitivo
(vigencia anterior)</t>
  </si>
  <si>
    <t>Presupuesto definitivo
Vigencia Anterior</t>
  </si>
  <si>
    <t xml:space="preserve">Presupuesto definitivo Vigencia Actual </t>
  </si>
  <si>
    <t>% Participación
Presupuesto definitivo
(vigencia actual)</t>
  </si>
  <si>
    <t>Presupuesto Definitivo
Vigencia a Auditar</t>
  </si>
  <si>
    <t>Recaudo acumulado vigencia actual</t>
  </si>
  <si>
    <t>% Recaudo acumulado vigencia actual</t>
  </si>
  <si>
    <t>Observaciones</t>
  </si>
  <si>
    <t>Presupuesto vigente 
(vigencia actual)</t>
  </si>
  <si>
    <t>% Participación Presupuesto vigente 
(vigencia actual)</t>
  </si>
  <si>
    <t>Presupuesto vigente
(vigencia a auditar)</t>
  </si>
  <si>
    <t>Compromisos acumulados vigencia actual</t>
  </si>
  <si>
    <t>% Compromisos acumulados vigencia actual</t>
  </si>
  <si>
    <t>Giros acumulados vigencia actual</t>
  </si>
  <si>
    <t>% Giros acumulados vigencia actual</t>
  </si>
  <si>
    <t xml:space="preserve">Diligenciar de conformidad con el nivel de desagregación que el auditor considere y de acuerdo con el alcance del Plan de Trabajo. Se recomienda escoger aquello(a)s de mayor riesgo sobre los cuales se deberá focalizar la auditoría, incluyendo como mínimo las cuentas agregadas consideradas como Base de Análisis (Ingresos, Gastos/Costos y Gastos, Reservas, Obligaciones y/o Cuentas por Pagar). </t>
  </si>
  <si>
    <r>
      <rPr>
        <b/>
        <sz val="11"/>
        <color theme="1"/>
        <rFont val="Arial"/>
        <family val="2"/>
      </rPr>
      <t xml:space="preserve">Nota 1: </t>
    </r>
    <r>
      <rPr>
        <sz val="11"/>
        <color theme="1"/>
        <rFont val="Arial"/>
        <family val="2"/>
      </rPr>
      <t>Con el diligenciamiento de este instrumento se pretende establecer el universo de los rubros y/o cuentas presupuestales a tener en cuenta del Sujeto de Control con corte a diciembre 31 de la vigencia a auditar y de esta forma establecer su participación % y principales variaciones con respecto a diciembre 31 del año anterior.</t>
    </r>
  </si>
  <si>
    <r>
      <rPr>
        <b/>
        <sz val="11"/>
        <color theme="1"/>
        <rFont val="Arial"/>
        <family val="2"/>
      </rPr>
      <t>Nota 2:</t>
    </r>
    <r>
      <rPr>
        <sz val="11"/>
        <color theme="1"/>
        <rFont val="Arial"/>
        <family val="2"/>
      </rPr>
      <t xml:space="preserve"> A partir de lo anterior, con el fin de focalizar la Muestra a Seleccionar, se dará aplicación a los criterios establecidos para seleccionar la muestra según los procedimientos establecidos.</t>
    </r>
  </si>
  <si>
    <t>Sin salvedades</t>
  </si>
  <si>
    <t>Opinión Presupuestal
auditoría anterior</t>
  </si>
  <si>
    <t>Con salvedades</t>
  </si>
  <si>
    <t>Negatiiva</t>
  </si>
  <si>
    <t>Opinión Presupuestal de Ingresos auditoría anterior</t>
  </si>
  <si>
    <t>Opinión Presupuestal de Gastos / Costos y Gastos auditoría anterior</t>
  </si>
  <si>
    <r>
      <t xml:space="preserve">INSTRUCCIÓN. Determinación del nivel de riesgo del Control fiscal en cada Proceso Presupuestal. </t>
    </r>
    <r>
      <rPr>
        <sz val="10"/>
        <color theme="1"/>
        <rFont val="Arial"/>
        <family val="2"/>
      </rPr>
      <t>Los criterios o variables para determinar</t>
    </r>
    <r>
      <rPr>
        <b/>
        <sz val="10"/>
        <color theme="1"/>
        <rFont val="Arial"/>
        <family val="2"/>
      </rPr>
      <t xml:space="preserve"> </t>
    </r>
    <r>
      <rPr>
        <sz val="10"/>
        <color theme="1"/>
        <rFont val="Arial"/>
        <family val="2"/>
      </rPr>
      <t>el nivel de riesgo son los siguientes:
1. Seleccione en el desplegable, según corresponda la Opinión Presupuestal de la auditoría anterior (de Regularidad o Financiera y de Gestión, según aplique)
2. Seleccione en el desplegable, la calificación del Control Fiscal Interno de la auditoría anterior (de Regularidad o Financiera y de Gestión, según aplique) del Proceso de Gestión Presupuestal.
3. Seleccione en el desplegable, según la escala definida en el desplegable, los hallazgos en la auditoría anterior (de Regularidad o Financiera y de Gestión, según aplique) en el Proceso de Gestión Presupuestal.
4. Seleccione en el desplegable, la calificación al fenecimiento de la auditoría financiera y de gestión anterior, según la escala definida en el desplegable. (1 o 4).
5. Seleccione en el desplegable, la valoración del Riesgo Residual o Combinado de la vigencia auditar del Proceso de Gestión Presupuestal, proveniente de la Matriz de Rriesgos y controles.
En cada una de las variables se escoge el valor correspondiente de la lista desplegable.</t>
    </r>
  </si>
  <si>
    <t>1 - 3%</t>
  </si>
  <si>
    <t>De conformidad con el rango general establecido por  Guide to Using International Standards on Auditing in the Audits of Small- and Medium-Sized Entities Volume 2 —Practical Guidance (Third edition) que va del 1% al 3%, se estableció la materialidad % por nivel</t>
  </si>
  <si>
    <t>&gt;2,3% y &lt;=3%</t>
  </si>
  <si>
    <t>&gt;1,7% y &lt;=2,3%</t>
  </si>
  <si>
    <t>&gt;=1,0% y &lt;=1,7%</t>
  </si>
  <si>
    <t>A menor puntaje de la calificación de las variables de auditoría (Mejores resultados), mayor tolerancia o porcentaje de materialidad cuantitativa.
En virtud a la rigurosidad de los rangos determinados, se consideró el límite superior por ser el más objetivo para el sujeto de vigilancia y control fiscal.</t>
  </si>
  <si>
    <t>UNIVERSO DE GASTOS: Conformado por el total del presupuesto COMPROMETIDO, por todos los conceptos, en la vigencia a auditar</t>
  </si>
  <si>
    <t>Rango establecido para determinar Materialidad</t>
  </si>
  <si>
    <t>Rubro y/o cuenta presupuestal</t>
  </si>
  <si>
    <t>PRESUPUESTO DE GASTOS – RESERVAS / OBLIGACIONES POR PAGAR / CUENTAS POR PAGAR / PASIVOS EXIGIBLES / VIGENCIAS FUTURAS</t>
  </si>
  <si>
    <t>Aspecto</t>
  </si>
  <si>
    <r>
      <t xml:space="preserve">CÓDIGO
</t>
    </r>
    <r>
      <rPr>
        <sz val="11"/>
        <color theme="0"/>
        <rFont val="Arial"/>
        <family val="2"/>
      </rPr>
      <t>(Si lo hay)</t>
    </r>
  </si>
  <si>
    <t>268 - Operadora Distrital de Transporte S.A.S.</t>
  </si>
  <si>
    <t>PUBLICA CON GESTIÓN FINANCIERA Y CONTRATACIÓN MIXTA</t>
  </si>
  <si>
    <t>CÓDIGO INGRESOS</t>
  </si>
  <si>
    <t>INGRESOS CORRIENTES</t>
  </si>
  <si>
    <t>Tributarios</t>
  </si>
  <si>
    <t>No Tributarios</t>
  </si>
  <si>
    <t>Transferencias corrientes nacionales</t>
  </si>
  <si>
    <t>Distritales</t>
  </si>
  <si>
    <t>Otras Transferencias</t>
  </si>
  <si>
    <t>RECURSOS DE CAPITAL</t>
  </si>
  <si>
    <t>Disposición de activos</t>
  </si>
  <si>
    <t>Rendimientos financieros</t>
  </si>
  <si>
    <t>Retiros FONPET</t>
  </si>
  <si>
    <t>Diferencial cambiario</t>
  </si>
  <si>
    <t>Transferencias Administración Central</t>
  </si>
  <si>
    <t>CÓDIGO GASTOS</t>
  </si>
  <si>
    <t>GASTOS DE FUNCIONAMIENTO</t>
  </si>
  <si>
    <t>Gasto de personal</t>
  </si>
  <si>
    <t>Adquisición bienes y servicios</t>
  </si>
  <si>
    <t>Disminución de Pasivos</t>
  </si>
  <si>
    <t>Servicios de la deuda pública externa</t>
  </si>
  <si>
    <t>Servicios de la deuda pública interna</t>
  </si>
  <si>
    <t>INVERSIÓN</t>
  </si>
  <si>
    <t>Directa</t>
  </si>
  <si>
    <t>Transferencia Distrital</t>
  </si>
  <si>
    <t>CÓDIGO OTROS GASTOS</t>
  </si>
  <si>
    <t>Entidades del sector descentralizado: Empresas Industriales y Comerciales, Empresas Sociales del Estado</t>
  </si>
  <si>
    <t>DISPONIBILIDAD INICIAL</t>
  </si>
  <si>
    <t>Bancos</t>
  </si>
  <si>
    <t>Inversiones Temporales</t>
  </si>
  <si>
    <t>DISPONIBILIDAD FINAL</t>
  </si>
  <si>
    <t>CUENTAS POR PAGAR constituidas al cierre de la vigencia</t>
  </si>
  <si>
    <t>RESERVAS PRESUPUESTALES CONSTITUIDAS</t>
  </si>
  <si>
    <t>OBLGACIONES POR PAGAR</t>
  </si>
  <si>
    <t>Departamentales</t>
  </si>
  <si>
    <t>CUENTAS POR PAGAR en poder del Tesorero</t>
  </si>
  <si>
    <t>O10</t>
  </si>
  <si>
    <t>O1002</t>
  </si>
  <si>
    <t>O1</t>
  </si>
  <si>
    <t>O1003</t>
  </si>
  <si>
    <t>O11</t>
  </si>
  <si>
    <t>O1101</t>
  </si>
  <si>
    <t>O1102</t>
  </si>
  <si>
    <t>O12</t>
  </si>
  <si>
    <t>O122</t>
  </si>
  <si>
    <t>O12201</t>
  </si>
  <si>
    <t>O12202</t>
  </si>
  <si>
    <t>O12203</t>
  </si>
  <si>
    <t>O12204</t>
  </si>
  <si>
    <t>O1201</t>
  </si>
  <si>
    <t>O1202</t>
  </si>
  <si>
    <t>Excedentes financieros</t>
  </si>
  <si>
    <t>O1203</t>
  </si>
  <si>
    <t>Dividendos y utilidades por otras Inversiones de CAPITAL</t>
  </si>
  <si>
    <t>O1205</t>
  </si>
  <si>
    <t>O1206</t>
  </si>
  <si>
    <t>RECURSOS de crédito externo</t>
  </si>
  <si>
    <t>O1207</t>
  </si>
  <si>
    <t>RECURSOS de crédito interno</t>
  </si>
  <si>
    <t>O1208</t>
  </si>
  <si>
    <t>Transferencias de CAPITAL</t>
  </si>
  <si>
    <t>Recuperación de cartera</t>
  </si>
  <si>
    <t>O1210</t>
  </si>
  <si>
    <t>RECURSOS del balance</t>
  </si>
  <si>
    <t>O1211</t>
  </si>
  <si>
    <t>O1212</t>
  </si>
  <si>
    <t>O1213</t>
  </si>
  <si>
    <t>Reintegros y otros RECURSOS no apropiados</t>
  </si>
  <si>
    <t>O1209</t>
  </si>
  <si>
    <t>O15</t>
  </si>
  <si>
    <t>O2</t>
  </si>
  <si>
    <t>O21</t>
  </si>
  <si>
    <t>O211</t>
  </si>
  <si>
    <t>O21101</t>
  </si>
  <si>
    <t>O21102</t>
  </si>
  <si>
    <t>Planta de Personal permanente</t>
  </si>
  <si>
    <t>Personal supernumerario y Planta temporal</t>
  </si>
  <si>
    <t>O212</t>
  </si>
  <si>
    <t>O21201</t>
  </si>
  <si>
    <t>Adquisición de activos no financieros</t>
  </si>
  <si>
    <t>O21202</t>
  </si>
  <si>
    <t>Adquisiciones diferentes de activos</t>
  </si>
  <si>
    <t>O213</t>
  </si>
  <si>
    <t>Transferencias CORRIENTES</t>
  </si>
  <si>
    <t>O21304</t>
  </si>
  <si>
    <t>A organizaciones nacionales</t>
  </si>
  <si>
    <t>O21305</t>
  </si>
  <si>
    <t>A entidades del gobierno</t>
  </si>
  <si>
    <t>Sentencias y conciliaciones</t>
  </si>
  <si>
    <t>Adquisición de activos financieros</t>
  </si>
  <si>
    <t>O23313</t>
  </si>
  <si>
    <t>O233</t>
  </si>
  <si>
    <t>O222</t>
  </si>
  <si>
    <t>Entidades del sector central: Secretaria de Despacho, Secretaría Distrital de Hacienda; Unidades Administrativas,Departamentos Administrativos. Así como Establecimientos Públicos, Universidad Distrital Francisco José de Caldas, Fondos financiero de salud, y Fondos de Desarrollo local -FDL</t>
  </si>
  <si>
    <t>O21314</t>
  </si>
  <si>
    <t>Aportes al FONPET</t>
  </si>
  <si>
    <t>O218</t>
  </si>
  <si>
    <t>Gastos por tributos, tasas, contribuciones, multas, sanciones e intereses de mora</t>
  </si>
  <si>
    <t>O22101</t>
  </si>
  <si>
    <t>Principal</t>
  </si>
  <si>
    <t>O22102</t>
  </si>
  <si>
    <t>Intereses</t>
  </si>
  <si>
    <t>O22201</t>
  </si>
  <si>
    <t>O22202</t>
  </si>
  <si>
    <t>O23</t>
  </si>
  <si>
    <t>O22203</t>
  </si>
  <si>
    <t>Comisiones y otros GASTOS</t>
  </si>
  <si>
    <t>O23307</t>
  </si>
  <si>
    <t>Prestaciones para cubrir riesgos sociales</t>
  </si>
  <si>
    <t>O23305</t>
  </si>
  <si>
    <t>MATERIALIDAD PRESUPUESTO DE GASTOS – RESERVAS / OBLIGACIONES POR PAGAR / CUENTAS POR PAGAR / PASIVOS EXIGIBLES / VIGENCIAS FUTURAS</t>
  </si>
  <si>
    <t>HALLAZGOS PARA OPINIÓN PRESUPUESTAL</t>
  </si>
  <si>
    <r>
      <t xml:space="preserve">Tipo de Incorrección o Imposibilidad
</t>
    </r>
    <r>
      <rPr>
        <sz val="11"/>
        <color theme="0"/>
        <rFont val="Arial"/>
        <family val="2"/>
      </rPr>
      <t>(lista desplegable)</t>
    </r>
  </si>
  <si>
    <t>Tipo de Incorrección o Imposibilidad
(lista desplegable)</t>
  </si>
  <si>
    <t>Incorrección en el informe de Pasivos Exigibles</t>
  </si>
  <si>
    <t>Imposibilidades en el informe de Pasivos Exigibles</t>
  </si>
  <si>
    <t>Incorrección en el Informe de Ejecución de GASTOS de Funcionamiento</t>
  </si>
  <si>
    <t>Imposibilidades en el Informe de Ejecución de GASTOS de Funcionamiento</t>
  </si>
  <si>
    <t>Condición o Situación encontrada
(Texto)</t>
  </si>
  <si>
    <r>
      <t xml:space="preserve">Valor de la Incorrección o Imposibilidad
</t>
    </r>
    <r>
      <rPr>
        <sz val="10"/>
        <color theme="0"/>
        <rFont val="Arial"/>
        <family val="2"/>
      </rPr>
      <t>( Valores en pesos)</t>
    </r>
  </si>
  <si>
    <t>Efecto en caso de incorrección o 
posible efecto en caso de imposibilidad 
(texto)</t>
  </si>
  <si>
    <t>Porcentaje (% ) de hallazgo o salvedad respecto a la cuenta presupuestal</t>
  </si>
  <si>
    <t>Hallazgo Administrativo por presentar inconsistencias en la información reportada en el SIVICOF respecto del recaudo de los ingresos tributarios</t>
  </si>
  <si>
    <t>3.3.4.1</t>
  </si>
  <si>
    <t>Auditada la información reportada por la SDH en el aplicativo SIVICOF y a través de la comunicación 2022EE017534O1 del 21/01/2022, se compararon las cifras referentes al recaudo de los Ingresos Tributarios correspondientes a la vigencia 2021, encontrando inconsistencias en los valores reportados</t>
  </si>
  <si>
    <t>Como se observa en el Cuadro comparativo, entre el presupuesto disponible y el PAA, existen diferencias en las cifras, lo cual denota falta de coordinación entre las áreas que planean y ejecutan. Así mismo, en el manejo de los rubros antes mencionados, existen debilidades en la planeación, programación y ejecución del  Plan  Anual de Adquisiciones-PAA, en razón a que, el presupuesto planeado y aprobado presenta diferencias considerables con respecto a lo ejecutado en su PAA.</t>
  </si>
  <si>
    <t>Hallazgo Administrativo por la inadecuada programación en el manejo de los rubros de los gastos de funcionamiento y deficiencias en la Planeación del Plan Anual de Adquisiciones - PAA, de la Unidad Ejecutora 1.</t>
  </si>
  <si>
    <t xml:space="preserve">3.3.4.2 </t>
  </si>
  <si>
    <t>Hallazgo Administrativo con presunta incidencia disciplinaria por no iniciar a partir del 01/01/2021 con el mismo registro de las reservas constituidas al cierre de la vigencia 31/12/2020 y por presentar inconsistencias en la información reportada en el Acta de Fenecimiento pasivos exigibles No. 1, Rubro de Funcionamiento del 31 de diciembre de 2021</t>
  </si>
  <si>
    <t>3.3.4.3</t>
  </si>
  <si>
    <t>Entre el presupuesto disponible y el PAA, existen diferencias en las cifras, lo cual denota falta de coordinación entre las áreas que planean y ejecutan. Así mismo, en el manejo de los rubros antes mencionados, existen debilidades en la planeación, programación y ejecución del PAA, en razón a que, el presupuesto planeado y aprobado presenta diferencias considerables con respecto a lo ejecutado en su PAA.</t>
  </si>
  <si>
    <t>Del análisis realizado a los pasivos exigibles, en la información allegada a través de la respuesta 2022EE017534O1 del 21/01/2022, se encontraron inconsistencias, contraviniendo lo estipulado en el instructivo para diligenciar el formato CB-0002 - PASIVOS EXIGIBLES AL CIERRE DE LA VIGENCIA, de la Contraloría de Bogotá D.C. que indica: “Pasivos exigibles al cierre de la vigencia debe contener la relación de los compromisos presupuestales suscritos en vigencias anteriores y que a diciembre 31 de la vigencia actual presentan saldo por ejecutar y/o pagar”. En razón, que no coinciden las cifras reportadas en el acta de fenecimiento No. 01 del 31/12/2021, con las auditadas,</t>
  </si>
  <si>
    <t>Hallazgo Administrativo con presunta incidencia disciplinaria por superar los porcentajes permitidos en la constitución de las reservas presupuestales a 31/12/2021.</t>
  </si>
  <si>
    <t xml:space="preserve">3.3.4.4 </t>
  </si>
  <si>
    <t>Hallazgo Administrativo por aumento en la constitución de Cuentas por Pagar de las unidades ejecutoras 01, 02 y 04, a diciembre 31 de 2021.</t>
  </si>
  <si>
    <t xml:space="preserve">3.3.4.6 </t>
  </si>
  <si>
    <t>Verificada, la constitución de las reservas presupuestales de la SDH para las Unidades Ejecutoras 01 y 04, se evidenció que por Gastos de Funcionamiento suman $19.003.359.797 equivalente al 7,0% y por inversión $19,783,635,999 correspondiente al 37,13% del presupuesto definitivo de la vigencia 2021.</t>
  </si>
  <si>
    <t>O1101-Tributarios</t>
  </si>
  <si>
    <t>O217</t>
  </si>
  <si>
    <t>O22</t>
  </si>
  <si>
    <t>SERVICIO DE LA DEUDA PÚBLICA</t>
  </si>
  <si>
    <t>O221</t>
  </si>
  <si>
    <t>O2301</t>
  </si>
  <si>
    <t>O234</t>
  </si>
  <si>
    <t>O23301</t>
  </si>
  <si>
    <t>Subvenciones</t>
  </si>
  <si>
    <t>O23302</t>
  </si>
  <si>
    <t>A empresas diferentes de subvenciones</t>
  </si>
  <si>
    <t>O23401</t>
  </si>
  <si>
    <t>Transferencias para INVERSIÓN</t>
  </si>
  <si>
    <t>O4</t>
  </si>
  <si>
    <t>O21-GASTOS DE FUNCIONAMIENTO</t>
  </si>
  <si>
    <t>19-PASIVOS EXIGIBLES</t>
  </si>
  <si>
    <t>16-RESERVAS PRESUPUESTALES CONSTITUIDAS</t>
  </si>
  <si>
    <t>Número de INCORRECCIONES en función a la Materialidad
(En función al valor)</t>
  </si>
  <si>
    <t>Número de INCORRECCIONES en función a la Materialidad
(En %)</t>
  </si>
  <si>
    <t>EJECUCIÒN DE INGRESOS</t>
  </si>
  <si>
    <t>EJECUCIÒN DE GASTOS</t>
  </si>
  <si>
    <t>INDICE PREDOMINATE ENTRE INGRESOS Y GASTOS / NUMERO DE INCORRECCIONES + IMPOSIBILIDADES</t>
  </si>
  <si>
    <t>Informe de Ejecuciòn de Ingresos</t>
  </si>
  <si>
    <t>OPINIÓN CONSOLIDADA</t>
  </si>
  <si>
    <t>CALIFICACION CONSOLIDADA</t>
  </si>
  <si>
    <t>SI LAS INCORRECCIONES + LAS IMPOSIBILIDADES SON MATERIALES Y GENERALIZADAS, ESTABLECER CUALES SON PREDOMINANTES</t>
  </si>
  <si>
    <t>LIMPIO O SIN SALVEDADES</t>
  </si>
  <si>
    <t>CON SALVEDADES</t>
  </si>
  <si>
    <t>TIPOS DE OPINIONES, SUS PARAMETROS, CALIFICACIÓN Y CONCEPTO DEL PRINCIPIO EVALUADO</t>
  </si>
  <si>
    <t>PREDOMINA INCORRECCIONES</t>
  </si>
  <si>
    <t>OPINIÓN</t>
  </si>
  <si>
    <t>INCORRECCIONES</t>
  </si>
  <si>
    <t>IMPOSIBILIDADES</t>
  </si>
  <si>
    <t>ACUMULADO DE INCORRRECCIONES + IMPOSIBILIDADES</t>
  </si>
  <si>
    <t>Puntaje asignado de acuerdo con la opinión.</t>
  </si>
  <si>
    <t>Concepto sobre el principio de Eficacia</t>
  </si>
  <si>
    <t>NEGATIVA</t>
  </si>
  <si>
    <r>
      <t>NO MATERIAL</t>
    </r>
    <r>
      <rPr>
        <sz val="11"/>
        <color indexed="8"/>
        <rFont val="Arial"/>
        <family val="2"/>
      </rPr>
      <t xml:space="preserve"> 
Menores a 1 vez la materialidad establecida para el total de los Rubros del Ingreso o los Rubos de Gastos.</t>
    </r>
  </si>
  <si>
    <r>
      <t>NO MATERIAL</t>
    </r>
    <r>
      <rPr>
        <sz val="11"/>
        <color indexed="8"/>
        <rFont val="Arial"/>
        <family val="2"/>
      </rPr>
      <t xml:space="preserve"> 
Menores a 1 vez la materialidad establecida para del Los Rubros de Ingresos o los Rubros de Gastos.</t>
    </r>
  </si>
  <si>
    <r>
      <t>NO MATERIAL</t>
    </r>
    <r>
      <rPr>
        <sz val="11"/>
        <color indexed="8"/>
        <rFont val="Arial"/>
        <family val="2"/>
      </rPr>
      <t xml:space="preserve"> 
Menores a 1 vez la materialidad establecida para el total de LOS Rubros de Ingresos o los Rubros de Gastos.</t>
    </r>
  </si>
  <si>
    <t>PREDOMINA IMPOSIBILIDADES</t>
  </si>
  <si>
    <r>
      <t xml:space="preserve">MATERIAL 
</t>
    </r>
    <r>
      <rPr>
        <sz val="11"/>
        <color indexed="8"/>
        <rFont val="Arial"/>
        <family val="2"/>
      </rPr>
      <t>Mayor a 1 Vez y menor a 5 veces la materialidad establecida para el total de los Rubros de Ingresos o de los Rubros de Gastos</t>
    </r>
  </si>
  <si>
    <r>
      <t xml:space="preserve">MATERIAL 
</t>
    </r>
    <r>
      <rPr>
        <sz val="11"/>
        <color indexed="8"/>
        <rFont val="Arial"/>
        <family val="2"/>
      </rPr>
      <t>Mayor a 1 Vez y menor a 5 veces la materialidad establecida para el total de los Rubros de Ingresos o de los Gastos</t>
    </r>
  </si>
  <si>
    <r>
      <t xml:space="preserve">MATERIAL 
</t>
    </r>
    <r>
      <rPr>
        <sz val="11"/>
        <color indexed="8"/>
        <rFont val="Arial"/>
        <family val="2"/>
      </rPr>
      <t>Mayor a 1 Vez y menor a 5 veces la materialidad establecida para el total de los Rubros de Ingresos o de Gastos</t>
    </r>
  </si>
  <si>
    <r>
      <rPr>
        <b/>
        <sz val="11"/>
        <color indexed="8"/>
        <rFont val="Arial"/>
        <family val="2"/>
      </rPr>
      <t>MATERIAL GENERALIZADA</t>
    </r>
    <r>
      <rPr>
        <sz val="11"/>
        <color indexed="8"/>
        <rFont val="Arial"/>
        <family val="2"/>
      </rPr>
      <t xml:space="preserve">
Mayor o igual a 5 veces la materialidad establecida para el total de los Rubros de Ingresos o de los Rubros de Gastos</t>
    </r>
  </si>
  <si>
    <r>
      <rPr>
        <b/>
        <sz val="11"/>
        <color indexed="8"/>
        <rFont val="Arial"/>
        <family val="2"/>
      </rPr>
      <t>MATERIAL GENERALIZADA</t>
    </r>
    <r>
      <rPr>
        <sz val="11"/>
        <color indexed="8"/>
        <rFont val="Arial"/>
        <family val="2"/>
      </rPr>
      <t xml:space="preserve">
Mayor o igual a 5 veces la materialidad establecida para el total de los Rubros de Ingresos o los Rubros de Gastos</t>
    </r>
  </si>
  <si>
    <t>ABSTENCIÓN DE OPINIÓN</t>
  </si>
  <si>
    <r>
      <rPr>
        <b/>
        <sz val="11"/>
        <color indexed="8"/>
        <rFont val="Arial"/>
        <family val="2"/>
      </rPr>
      <t>MATERIAL GENERALIZADA</t>
    </r>
    <r>
      <rPr>
        <sz val="11"/>
        <color indexed="8"/>
        <rFont val="Arial"/>
        <family val="2"/>
      </rPr>
      <t xml:space="preserve">
Mayor o Igual a 5 veces la materialidad establecida para el total de los Rubros de Ingresos o de Gastos</t>
    </r>
  </si>
  <si>
    <r>
      <rPr>
        <b/>
        <sz val="11"/>
        <color indexed="8"/>
        <rFont val="Arial"/>
        <family val="2"/>
      </rPr>
      <t xml:space="preserve">MATERIAL GENERALIZADA
</t>
    </r>
    <r>
      <rPr>
        <sz val="11"/>
        <color indexed="8"/>
        <rFont val="Arial"/>
        <family val="2"/>
      </rPr>
      <t>Mayor o igual a 5 veces la materilidad establecidad para el total de Los Rubros de Ingresos o los Rubros de Gastos, siempre y cuando el numero de veces de las imposibilidades supere el nuemero de veces de las incorrecciones incorrecciones.</t>
    </r>
  </si>
  <si>
    <t>Informe de Ejecuciòn de Gastos / Costos y Gastos</t>
  </si>
  <si>
    <t>Respecto al agregado por valor: Número de veces en que las incorrecciones de los Rubros sobrepasan el valor de la materialidad?</t>
  </si>
  <si>
    <t>Respecto al agregado por valor: Número de veces en que las imposibilidades de los Rubros sobrepasan el valor de la materialidad?</t>
  </si>
  <si>
    <t>17-CUENTAS POR PAGAR en poder del Tesorero</t>
  </si>
  <si>
    <t>Incorrección en el informe de Ejecución de Reservas Costituidas por pagar de la vigencia auditar</t>
  </si>
  <si>
    <t>Imposibilidades en el informe de Ejecución de Reservas Costituidas por pagar de la vigencia auditar</t>
  </si>
  <si>
    <t>Incorrección en el informe de Ejecución de Obligaciones por pagar de la vigencia auditar</t>
  </si>
  <si>
    <t>Incorrección en el informe de Ejecución de Cuentas por Pagar de la vigencia auditar</t>
  </si>
  <si>
    <t>Imposibilidades en el informe de Ejecución de Cuentas por Pagar de la vigencia auditar</t>
  </si>
  <si>
    <t>Incorrección en el informe de Ejecución de Cuentas por Pagar de la vigencia anterior</t>
  </si>
  <si>
    <t>Imposibilidades en el informe de Ejecución de Cuentas por Pagar de la vigencia anterior</t>
  </si>
  <si>
    <t>Imposibilidades en el informe de Ejecución de Obligaciones por pagar de la vigencia auditar</t>
  </si>
  <si>
    <t>Incorrección en el informe de Ejecución de Reservas Costituidas por pagar de la vigencia anterior</t>
  </si>
  <si>
    <t>Imposibilidades en el informe de Ejecución de Reservas Costituidas por pagar de la vigencia anterior</t>
  </si>
  <si>
    <t>Incorrección en el informe de Ejecución de Obligaciones por pagar de la vigencia anterior</t>
  </si>
  <si>
    <t>Imposibilidades en el informe de Ejecución de Obligaciones por pagar de la vigencia anterior</t>
  </si>
  <si>
    <t>Inconsistencias en las cifras presupuestales</t>
  </si>
  <si>
    <t>Incorrección en el informe de Vigencias Futuras</t>
  </si>
  <si>
    <t>Imposibilidades en el informe de Vigencias Futuras</t>
  </si>
  <si>
    <t>CONSOLIDADO</t>
  </si>
  <si>
    <t>Número de INCORRECCIONES+
IMPOSIBILIDADES en función a la Materialidad
(En %)</t>
  </si>
  <si>
    <t>Número de INCORRECCIONES+
IMPOSIBILIDADES en función a la Materialidad
(En función al valor)</t>
  </si>
  <si>
    <t>Número de 
IMPOSIBILIDADES en función a la Materialidad
(En %)</t>
  </si>
  <si>
    <t>Número de IMPOSIBILIDADES en función a la Materialidad
(En función al valor)</t>
  </si>
  <si>
    <r>
      <rPr>
        <sz val="11"/>
        <color theme="1"/>
        <rFont val="Arial"/>
        <family val="2"/>
      </rPr>
      <t xml:space="preserve">LAS INCORRECCIONES + IMPOSIBILIDADES SON </t>
    </r>
    <r>
      <rPr>
        <b/>
        <sz val="11"/>
        <color theme="1"/>
        <rFont val="Arial"/>
        <family val="2"/>
      </rPr>
      <t>NO MATERIALES</t>
    </r>
  </si>
  <si>
    <r>
      <rPr>
        <sz val="11"/>
        <color theme="1"/>
        <rFont val="Arial"/>
        <family val="2"/>
      </rPr>
      <t>LAS INCORRECCIONES + IMPOSIBILIDADES SON</t>
    </r>
    <r>
      <rPr>
        <b/>
        <sz val="11"/>
        <color theme="1"/>
        <rFont val="Arial"/>
        <family val="2"/>
      </rPr>
      <t xml:space="preserve"> MATERIALES</t>
    </r>
  </si>
  <si>
    <r>
      <rPr>
        <sz val="11"/>
        <color theme="1"/>
        <rFont val="Arial"/>
        <family val="2"/>
      </rPr>
      <t>LAS INCORRECCIONES + IMPOSIBILIDADES SON</t>
    </r>
    <r>
      <rPr>
        <b/>
        <sz val="11"/>
        <color theme="1"/>
        <rFont val="Arial"/>
        <family val="2"/>
      </rPr>
      <t xml:space="preserve"> MATERIALES GENERALIZADAS</t>
    </r>
  </si>
  <si>
    <t>Nombre: (Auditor)</t>
  </si>
  <si>
    <t>Fecha: (de revisión)</t>
  </si>
  <si>
    <t>Nombre: (Líder o Supervisor)</t>
  </si>
  <si>
    <r>
      <t xml:space="preserve">Fecha inicio: </t>
    </r>
    <r>
      <rPr>
        <b/>
        <sz val="11"/>
        <color rgb="FF000000"/>
        <rFont val="Arial"/>
        <family val="2"/>
      </rPr>
      <t>(de la evaluación – fase de ejecución)</t>
    </r>
  </si>
  <si>
    <r>
      <t xml:space="preserve">Fecha terminación: </t>
    </r>
    <r>
      <rPr>
        <b/>
        <sz val="11"/>
        <color rgb="FF000000"/>
        <rFont val="Arial"/>
        <family val="2"/>
      </rPr>
      <t>(de la evaluación – fase de ejecución)</t>
    </r>
  </si>
  <si>
    <t>INCORRECCIONES EVIDENCIADAS</t>
  </si>
  <si>
    <t>IMPOSIBILIDADES PRESENTADAS</t>
  </si>
  <si>
    <t>Aquellos seleccionados en la planeación con mayor riesgo, que focalizarán la auditoria. Por ejemplo aquellos rubros con baja ejecución y giros acumulados, que estén por debajo del 75%.Los cálculos automáticos para el análisis el auditor sobre los agregados y para aquellas cuentas que encuentre con alto riesgo, suceptibles de incluir en la muestra.</t>
  </si>
  <si>
    <t>Para la Contraloría de Bogotá se determinó que la base a utilizar para determinar la materialidad  y el rango de porcentajes a aplicar se estableció  la materialidad entre el 1% y el 3% según el nivel de riesgo determinado.</t>
  </si>
  <si>
    <r>
      <rPr>
        <b/>
        <sz val="10"/>
        <rFont val="Arial"/>
        <family val="2"/>
      </rPr>
      <t xml:space="preserve">Instrucción. </t>
    </r>
    <r>
      <rPr>
        <sz val="10"/>
        <rFont val="Arial"/>
        <family val="2"/>
      </rPr>
      <t>Seleccione el UNIVERSO que constituye la totalidad de los elementos de análisis, en este caso el recaudo del presupuesto de ingresos o el presupuesto comprometido y ejecutado de gastos; o la unidad de análisis sobre la cual versará el ejercicio auditor. Para sujetos de vigilancia y control fiscal que no tienen ingresos se debe seleccionar las bases de Gastos y Reservas/Obligaciones/Cuentas por pagar. Para los sujetos de vigilancia y control fiscal que recauden aplicaran las tres bases según las aplicables a la naturaleza jurídica del sujeto de vigilancia y control fiscal.</t>
    </r>
  </si>
  <si>
    <r>
      <t xml:space="preserve">Nota1: </t>
    </r>
    <r>
      <rPr>
        <sz val="11"/>
        <color theme="1"/>
        <rFont val="Arial"/>
        <family val="2"/>
      </rPr>
      <t xml:space="preserve">Deje en blanco las celdas de las cuentas o rubros presupuestales no auditados
</t>
    </r>
    <r>
      <rPr>
        <b/>
        <sz val="11"/>
        <color theme="1"/>
        <rFont val="Arial"/>
        <family val="2"/>
      </rPr>
      <t xml:space="preserve">Nota 2: </t>
    </r>
    <r>
      <rPr>
        <sz val="11"/>
        <color theme="1"/>
        <rFont val="Arial"/>
        <family val="2"/>
      </rPr>
      <t>En el valor de las inconsistencias de la cuenta principal de Gastos no incluya el correspondiente a las otras cuentas de gastos o aspectos auditados y registrados en este cuadro</t>
    </r>
  </si>
  <si>
    <t>INDICADORES A PARTIR DE INFORMES DE EJECUCIÓN PRESUPUESTAL PARA OPINIÓN PRESUPUESTAL</t>
  </si>
  <si>
    <r>
      <rPr>
        <b/>
        <sz val="11"/>
        <color rgb="FF000000"/>
        <rFont val="Arial"/>
        <family val="2"/>
      </rPr>
      <t>INDICADORES A PARTIR DE INFORMES DE EJECUCIÓN PRESUPUESTAL PARA OPINIÓN PRESUPUESTAL</t>
    </r>
    <r>
      <rPr>
        <sz val="11"/>
        <color indexed="8"/>
        <rFont val="Arial"/>
        <family val="2"/>
      </rPr>
      <t xml:space="preserve">
</t>
    </r>
    <r>
      <rPr>
        <b/>
        <sz val="11"/>
        <color rgb="FF000000"/>
        <rFont val="Arial"/>
        <family val="2"/>
      </rPr>
      <t xml:space="preserve">INSTRUCCIONES:
</t>
    </r>
    <r>
      <rPr>
        <sz val="11"/>
        <color rgb="FF000000"/>
        <rFont val="Arial"/>
        <family val="2"/>
      </rPr>
      <t>Para cada indicador según sea aplicable al Sujeto de Control auditado, registre en la columna "</t>
    </r>
    <r>
      <rPr>
        <sz val="11"/>
        <color indexed="8"/>
        <rFont val="Arial"/>
        <family val="2"/>
      </rPr>
      <t>RESULTADOS DE LA APLICACIÓN DE LA FORMULA" el resultado u operación que calcule la formula del indicador no requiere aplicar formato a la celda ya esta configurado como porcentaje, automáticamente la calificación correspondiente se reflejara en la última columna que ya se encuentra formulada de acuerdo con el indicador reportado y su interpretación correspondiente</t>
    </r>
  </si>
  <si>
    <r>
      <rPr>
        <b/>
        <sz val="11"/>
        <color rgb="FF000000"/>
        <rFont val="Arial"/>
        <family val="2"/>
      </rPr>
      <t>Nota1</t>
    </r>
    <r>
      <rPr>
        <sz val="11"/>
        <color indexed="8"/>
        <rFont val="Arial"/>
        <family val="2"/>
      </rPr>
      <t>: Deje en blanco las celdas de los indicadores no aplicables y/o no auditados</t>
    </r>
  </si>
  <si>
    <t>AFECTACIÓN DE HALLAZGOS</t>
  </si>
  <si>
    <r>
      <t xml:space="preserve">Nota1: </t>
    </r>
    <r>
      <rPr>
        <sz val="11"/>
        <color theme="1"/>
        <rFont val="Arial"/>
        <family val="2"/>
      </rPr>
      <t>Seleccione de la columna "AFECTACIÓN DE HALLAZGOS" el tipo de hallazgo determinado en cada cuenta, rubro o aspecto presupuestal auditado o si no tuvo hallazgos, deje en blanco las celdas de las cuentas, rubros o aspectos presupuestales no aplicables o no auditados</t>
    </r>
    <r>
      <rPr>
        <b/>
        <sz val="11"/>
        <color theme="1"/>
        <rFont val="Arial"/>
        <family val="2"/>
      </rPr>
      <t xml:space="preserve">. </t>
    </r>
    <r>
      <rPr>
        <sz val="11"/>
        <color theme="1"/>
        <rFont val="Arial"/>
        <family val="2"/>
      </rPr>
      <t>Los demás cálculos son automáticos</t>
    </r>
  </si>
  <si>
    <r>
      <t xml:space="preserve">Rubro o Aspecto Presupuestal
</t>
    </r>
    <r>
      <rPr>
        <sz val="10"/>
        <color theme="0"/>
        <rFont val="Arial"/>
        <family val="2"/>
      </rPr>
      <t>(Código - Nombre)</t>
    </r>
  </si>
  <si>
    <r>
      <rPr>
        <b/>
        <sz val="11"/>
        <color theme="1"/>
        <rFont val="Arial"/>
        <family val="2"/>
      </rPr>
      <t>HALLAZGOS PARA OPINIÓN PRESUPUESTAL
INSTRUCCIONES:</t>
    </r>
    <r>
      <rPr>
        <sz val="11"/>
        <color theme="1"/>
        <rFont val="Arial"/>
        <family val="2"/>
      </rPr>
      <t xml:space="preserve">
</t>
    </r>
    <r>
      <rPr>
        <b/>
        <sz val="11"/>
        <color theme="1"/>
        <rFont val="Arial"/>
        <family val="2"/>
      </rPr>
      <t xml:space="preserve">Columna Condición o Situación encontrada: </t>
    </r>
    <r>
      <rPr>
        <sz val="11"/>
        <color theme="1"/>
        <rFont val="Arial"/>
        <family val="2"/>
      </rPr>
      <t xml:space="preserve">En esta sección el auditor debe describir brevemente la condición o situación encontrada relacionada con la cuenta, rubro o aspecto evaluado en el que se identificó la inconsistencia o deficiencia de control.
</t>
    </r>
    <r>
      <rPr>
        <b/>
        <sz val="11"/>
        <color theme="1"/>
        <rFont val="Arial"/>
        <family val="2"/>
      </rPr>
      <t xml:space="preserve">Columna Tipo de Incorrección o Imposibilidad: </t>
    </r>
    <r>
      <rPr>
        <sz val="11"/>
        <color theme="1"/>
        <rFont val="Arial"/>
        <family val="2"/>
      </rPr>
      <t>En esta sección el auditor debe seleccionar el tipo de incorrección o imposibilidad, de acuerdo con rubro presupuestal en el que se identificó la inconsistencia o deficiencia.</t>
    </r>
    <r>
      <rPr>
        <b/>
        <sz val="11"/>
        <color theme="1"/>
        <rFont val="Arial"/>
        <family val="2"/>
      </rPr>
      <t xml:space="preserve">
Columna Clasificación presupuestal:</t>
    </r>
    <r>
      <rPr>
        <sz val="11"/>
        <color theme="1"/>
        <rFont val="Arial"/>
        <family val="2"/>
      </rPr>
      <t xml:space="preserve"> Seleccionar la fila del rubro presupuestal agregado al cual pertenece la subcuenta en la que se identificó el hallazgo.
</t>
    </r>
    <r>
      <rPr>
        <b/>
        <sz val="11"/>
        <color theme="1"/>
        <rFont val="Arial"/>
        <family val="2"/>
      </rPr>
      <t>Columna Rubro o Aspecto Presupuestal:</t>
    </r>
    <r>
      <rPr>
        <sz val="11"/>
        <color theme="1"/>
        <rFont val="Arial"/>
        <family val="2"/>
      </rPr>
      <t xml:space="preserve"> Según el tipo de hallazgo y el rubro presupuestal, en la columna D, se registrará el rubro o cuenta presupuestal concreta por dónde se detectó el hallazgo.
</t>
    </r>
    <r>
      <rPr>
        <b/>
        <sz val="11"/>
        <color theme="1"/>
        <rFont val="Arial"/>
        <family val="2"/>
      </rPr>
      <t>Columna Origen o Causa:</t>
    </r>
    <r>
      <rPr>
        <sz val="11"/>
        <color theme="1"/>
        <rFont val="Arial"/>
        <family val="2"/>
      </rPr>
      <t xml:space="preserve"> De la lista desplegable seleccionar la situación que corresponda, según el origen del hallazgo.
</t>
    </r>
    <r>
      <rPr>
        <b/>
        <sz val="11"/>
        <color theme="1"/>
        <rFont val="Arial"/>
        <family val="2"/>
      </rPr>
      <t>Columna Principio Presupuestal afectado:</t>
    </r>
    <r>
      <rPr>
        <sz val="11"/>
        <color theme="1"/>
        <rFont val="Arial"/>
        <family val="2"/>
      </rPr>
      <t xml:space="preserve"> Seleccione del desplegable, el principio presupuestal afectado con el hallazgo presentado.
</t>
    </r>
    <r>
      <rPr>
        <b/>
        <sz val="11"/>
        <color theme="1"/>
        <rFont val="Arial"/>
        <family val="2"/>
      </rPr>
      <t>Columna Valor de la Incorrección o Imposibilidad:</t>
    </r>
    <r>
      <rPr>
        <sz val="11"/>
        <color theme="1"/>
        <rFont val="Arial"/>
        <family val="2"/>
      </rPr>
      <t xml:space="preserve"> En esta sección el auditor debe escribir el valor en pesos de la inconsistencia, en el evento de ser cuantificable, o que se haya cuantificado en el hallazgo.
</t>
    </r>
    <r>
      <rPr>
        <b/>
        <sz val="11"/>
        <color theme="1"/>
        <rFont val="Arial"/>
        <family val="2"/>
      </rPr>
      <t xml:space="preserve">Columna Porcentaje (% ) de hallazgo o salvedad respecto a la cuenta presupuestal: </t>
    </r>
    <r>
      <rPr>
        <sz val="11"/>
        <color theme="1"/>
        <rFont val="Arial"/>
        <family val="2"/>
      </rPr>
      <t xml:space="preserve">En esta sección el auditor debe consignar, el porcentaje del valor del hallazgo respecto del valor ejecutado de la cuenta presupuestal, cuando aplique.
</t>
    </r>
    <r>
      <rPr>
        <b/>
        <sz val="11"/>
        <color theme="1"/>
        <rFont val="Arial"/>
        <family val="2"/>
      </rPr>
      <t xml:space="preserve">Columna Resumen de la Observación o Hallazgo: </t>
    </r>
    <r>
      <rPr>
        <sz val="11"/>
        <color theme="1"/>
        <rFont val="Arial"/>
        <family val="2"/>
      </rPr>
      <t xml:space="preserve">En esta sección el auditor debe describir, una síntesis de la esencia del hallazgo.
</t>
    </r>
    <r>
      <rPr>
        <b/>
        <sz val="11"/>
        <color theme="1"/>
        <rFont val="Arial"/>
        <family val="2"/>
      </rPr>
      <t>Columna Efecto en caso de incorrección o posible efecto en caso de imposibilidad :</t>
    </r>
    <r>
      <rPr>
        <sz val="11"/>
        <color theme="1"/>
        <rFont val="Arial"/>
        <family val="2"/>
      </rPr>
      <t xml:space="preserve"> En esta sección el auditor debe escribir, el efecto o consecuencia que genera el   hallazgo.
</t>
    </r>
    <r>
      <rPr>
        <b/>
        <sz val="11"/>
        <color theme="1"/>
        <rFont val="Arial"/>
        <family val="2"/>
      </rPr>
      <t>Columna Presunta incidencia:</t>
    </r>
    <r>
      <rPr>
        <sz val="11"/>
        <color theme="1"/>
        <rFont val="Arial"/>
        <family val="2"/>
      </rPr>
      <t xml:space="preserve"> En esta sección el auditor debe seleccionar del desplegable, la(s) presuntas incidencias del hallazgo (fiscal, penal o disciplinaria).
</t>
    </r>
    <r>
      <rPr>
        <b/>
        <sz val="11"/>
        <color theme="1"/>
        <rFont val="Arial"/>
        <family val="2"/>
      </rPr>
      <t xml:space="preserve">Columna Numeral del hallazgo(s) en Informe Final: </t>
    </r>
    <r>
      <rPr>
        <sz val="11"/>
        <color theme="1"/>
        <rFont val="Arial"/>
        <family val="2"/>
      </rPr>
      <t xml:space="preserve">Registrar el numeral con el que se identifiquen los hallazgos que se determinen en la auditoría y que estén relacionados con la cuenta o rubro presupuestal auditado
</t>
    </r>
    <r>
      <rPr>
        <b/>
        <sz val="11"/>
        <color theme="1"/>
        <rFont val="Arial"/>
        <family val="2"/>
      </rPr>
      <t xml:space="preserve">Columna Referencia P/T: </t>
    </r>
    <r>
      <rPr>
        <sz val="11"/>
        <color theme="1"/>
        <rFont val="Arial"/>
        <family val="2"/>
      </rPr>
      <t xml:space="preserve">En esta sección el auditor debe escribir la referenciación del papel de trabajo donde aparezcan los detalles y el análisis del hallazgo, realizados por el auditor. 
</t>
    </r>
  </si>
  <si>
    <t>Procesos presupuesto de ingresos y de gastos o constos y gastos
Prueba analítica</t>
  </si>
  <si>
    <t>Procesos presupuesto de ingresos y de gastos o constos y gastos
Materialidad para concepto de gestión presupuestal</t>
  </si>
  <si>
    <t>Código formato: PVCGF-04-06
Versión: 1.0</t>
  </si>
  <si>
    <t>Procesos presupuesto de ingresos y de gastos o constos y gastos
Indicadores y hallazgos para concepto de la gestión presupuestal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</si>
</sst>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quot;$&quot;* #,##0.00_-;_-&quot;$&quot;* &quot;-&quot;??_-;_-@_-"/>
    <numFmt numFmtId="43" formatCode="_-* #,##0.00_-;\-* #,##0.00_-;_-* &quot;-&quot;??_-;_-@_-"/>
    <numFmt numFmtId="164" formatCode="0.0%"/>
    <numFmt numFmtId="165" formatCode="_-* #,##0_-;\-* #,##0_-;_-* &quot;-&quot;??_-;_-@_-"/>
    <numFmt numFmtId="166" formatCode="_(&quot;$&quot;\ * #,##0.00_);_(&quot;$&quot;\ * \(#,##0.00\);_(&quot;$&quot;\ * &quot;-&quot;??_);_(@_)"/>
    <numFmt numFmtId="167" formatCode="_-&quot;$&quot;* #,##0_-;\-&quot;$&quot;* #,##0_-;_-&quot;$&quot;* &quot;-&quot;??_-;_-@_-"/>
    <numFmt numFmtId="168" formatCode="_-* #,##0.00\ _€_-;\-* #,##0.00\ _€_-;_-* &quot;-&quot;??\ _€_-;_-@_-"/>
    <numFmt numFmtId="169" formatCode="_(* #,##0.00_);_(* \(#,##0.00\);_(* &quot;-&quot;??_);_(@_)"/>
    <numFmt numFmtId="170" formatCode="0.000%"/>
    <numFmt numFmtId="171" formatCode="0.0000000000"/>
  </numFmts>
  <fonts count="60" x14ac:knownFonts="1">
    <font>
      <sz val="11"/>
      <color theme="1"/>
      <name val="Calibri"/>
      <family val="2"/>
      <scheme val="minor"/>
    </font>
    <font>
      <sz val="11"/>
      <color theme="1"/>
      <name val="Calibri"/>
      <family val="2"/>
      <scheme val="minor"/>
    </font>
    <font>
      <b/>
      <sz val="11"/>
      <color theme="1"/>
      <name val="Calibri"/>
      <family val="2"/>
      <scheme val="minor"/>
    </font>
    <font>
      <b/>
      <sz val="14"/>
      <name val="Arial"/>
      <family val="2"/>
    </font>
    <font>
      <sz val="11"/>
      <color theme="1"/>
      <name val="Arial"/>
      <family val="2"/>
    </font>
    <font>
      <sz val="10"/>
      <color theme="1"/>
      <name val="Arial"/>
      <family val="2"/>
    </font>
    <font>
      <b/>
      <sz val="10"/>
      <name val="Arial"/>
      <family val="2"/>
    </font>
    <font>
      <b/>
      <sz val="10"/>
      <color theme="1"/>
      <name val="Arial"/>
      <family val="2"/>
    </font>
    <font>
      <u/>
      <sz val="10"/>
      <color theme="1"/>
      <name val="Arial"/>
      <family val="2"/>
    </font>
    <font>
      <b/>
      <sz val="12"/>
      <color theme="1"/>
      <name val="Arial"/>
      <family val="2"/>
    </font>
    <font>
      <b/>
      <sz val="10"/>
      <color indexed="8"/>
      <name val="Arial"/>
      <family val="2"/>
    </font>
    <font>
      <sz val="10"/>
      <name val="Arial"/>
      <family val="2"/>
    </font>
    <font>
      <sz val="10"/>
      <color indexed="10"/>
      <name val="Arial"/>
      <family val="2"/>
    </font>
    <font>
      <sz val="10"/>
      <color rgb="FFFF0000"/>
      <name val="Arial"/>
      <family val="2"/>
    </font>
    <font>
      <b/>
      <sz val="14"/>
      <color theme="1"/>
      <name val="Arial"/>
      <family val="2"/>
    </font>
    <font>
      <b/>
      <u/>
      <sz val="10"/>
      <color theme="1"/>
      <name val="Arial"/>
      <family val="2"/>
    </font>
    <font>
      <sz val="11"/>
      <color indexed="8"/>
      <name val="Calibri"/>
      <family val="2"/>
    </font>
    <font>
      <b/>
      <sz val="11"/>
      <name val="Arial"/>
      <family val="2"/>
    </font>
    <font>
      <sz val="11"/>
      <color indexed="8"/>
      <name val="Arial"/>
      <family val="2"/>
    </font>
    <font>
      <b/>
      <sz val="11"/>
      <color indexed="8"/>
      <name val="Arial"/>
      <family val="2"/>
    </font>
    <font>
      <b/>
      <sz val="12"/>
      <color theme="0"/>
      <name val="Arial"/>
      <family val="2"/>
    </font>
    <font>
      <b/>
      <sz val="12"/>
      <color indexed="8"/>
      <name val="Arial"/>
      <family val="2"/>
    </font>
    <font>
      <i/>
      <sz val="10"/>
      <color indexed="8"/>
      <name val="Arial"/>
      <family val="2"/>
    </font>
    <font>
      <sz val="10"/>
      <color indexed="8"/>
      <name val="Arial"/>
      <family val="2"/>
    </font>
    <font>
      <sz val="11"/>
      <name val="Arial"/>
      <family val="2"/>
    </font>
    <font>
      <i/>
      <sz val="10"/>
      <name val="Arial"/>
      <family val="2"/>
    </font>
    <font>
      <i/>
      <sz val="11"/>
      <color indexed="8"/>
      <name val="Arial"/>
      <family val="2"/>
    </font>
    <font>
      <b/>
      <sz val="11"/>
      <color theme="0" tint="-0.14999847407452621"/>
      <name val="Arial"/>
      <family val="2"/>
    </font>
    <font>
      <b/>
      <sz val="9"/>
      <color theme="1"/>
      <name val="Arial"/>
      <family val="2"/>
    </font>
    <font>
      <sz val="9"/>
      <color theme="1"/>
      <name val="Arial"/>
      <family val="2"/>
    </font>
    <font>
      <b/>
      <sz val="10"/>
      <color rgb="FF000000"/>
      <name val="Arial"/>
      <family val="2"/>
    </font>
    <font>
      <b/>
      <sz val="11"/>
      <color theme="1"/>
      <name val="Arial"/>
      <family val="2"/>
    </font>
    <font>
      <b/>
      <u/>
      <sz val="18"/>
      <color theme="0"/>
      <name val="Arial"/>
      <family val="2"/>
    </font>
    <font>
      <sz val="14"/>
      <color theme="1"/>
      <name val="Arial"/>
      <family val="2"/>
    </font>
    <font>
      <b/>
      <sz val="11"/>
      <color theme="0"/>
      <name val="Arial"/>
      <family val="2"/>
    </font>
    <font>
      <b/>
      <sz val="10"/>
      <color theme="0"/>
      <name val="Arial"/>
      <family val="2"/>
    </font>
    <font>
      <sz val="12"/>
      <name val="Arial"/>
      <family val="2"/>
    </font>
    <font>
      <b/>
      <sz val="14"/>
      <color theme="0"/>
      <name val="Arial"/>
      <family val="2"/>
    </font>
    <font>
      <b/>
      <sz val="11"/>
      <color theme="0"/>
      <name val="Calibri"/>
      <family val="2"/>
      <scheme val="minor"/>
    </font>
    <font>
      <b/>
      <sz val="12"/>
      <name val="Arial"/>
      <family val="2"/>
    </font>
    <font>
      <sz val="12"/>
      <color indexed="8"/>
      <name val="Arial"/>
      <family val="2"/>
    </font>
    <font>
      <sz val="12"/>
      <color theme="1"/>
      <name val="Arial"/>
      <family val="2"/>
    </font>
    <font>
      <sz val="10"/>
      <color theme="1"/>
      <name val="Calibri"/>
      <family val="2"/>
      <scheme val="minor"/>
    </font>
    <font>
      <sz val="11"/>
      <name val="Calibri"/>
      <family val="2"/>
    </font>
    <font>
      <b/>
      <sz val="11"/>
      <name val="Calibri"/>
      <family val="2"/>
    </font>
    <font>
      <b/>
      <u/>
      <sz val="14"/>
      <color theme="0"/>
      <name val="Arial"/>
      <family val="2"/>
    </font>
    <font>
      <sz val="11"/>
      <color theme="0"/>
      <name val="Arial"/>
      <family val="2"/>
    </font>
    <font>
      <sz val="10"/>
      <color theme="0"/>
      <name val="Arial"/>
      <family val="2"/>
    </font>
    <font>
      <sz val="10"/>
      <color rgb="FF000000"/>
      <name val="Arial"/>
      <family val="2"/>
    </font>
    <font>
      <sz val="8"/>
      <name val="Calibri"/>
      <family val="2"/>
      <scheme val="minor"/>
    </font>
    <font>
      <u/>
      <sz val="11"/>
      <color indexed="12"/>
      <name val="Calibri"/>
      <family val="2"/>
    </font>
    <font>
      <b/>
      <sz val="11"/>
      <color rgb="FF000000"/>
      <name val="Arial"/>
      <family val="2"/>
    </font>
    <font>
      <sz val="11"/>
      <color rgb="FF000000"/>
      <name val="Arial"/>
      <family val="2"/>
    </font>
    <font>
      <b/>
      <sz val="11"/>
      <color theme="0" tint="-4.9989318521683403E-2"/>
      <name val="Arial"/>
      <family val="2"/>
    </font>
    <font>
      <b/>
      <sz val="12"/>
      <color theme="0" tint="-4.9989318521683403E-2"/>
      <name val="Arial"/>
      <family val="2"/>
    </font>
    <font>
      <b/>
      <sz val="14"/>
      <color theme="0" tint="-4.9989318521683403E-2"/>
      <name val="Arial"/>
      <family val="2"/>
    </font>
    <font>
      <b/>
      <sz val="16"/>
      <color theme="0" tint="-4.9989318521683403E-2"/>
      <name val="Arial"/>
      <family val="2"/>
    </font>
    <font>
      <b/>
      <sz val="16"/>
      <color indexed="8"/>
      <name val="Arial"/>
      <family val="2"/>
    </font>
    <font>
      <b/>
      <sz val="16"/>
      <name val="Arial"/>
      <family val="2"/>
    </font>
    <font>
      <b/>
      <sz val="22"/>
      <color theme="1"/>
      <name val="Arial"/>
      <family val="2"/>
    </font>
  </fonts>
  <fills count="25">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C00000"/>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1F1F1"/>
        <bgColor indexed="64"/>
      </patternFill>
    </fill>
    <fill>
      <patternFill patternType="solid">
        <fgColor rgb="FFFF0000"/>
        <bgColor indexed="64"/>
      </patternFill>
    </fill>
    <fill>
      <patternFill patternType="solid">
        <fgColor theme="5" tint="-0.249977111117893"/>
        <bgColor indexed="64"/>
      </patternFill>
    </fill>
    <fill>
      <patternFill patternType="solid">
        <fgColor rgb="FF00B05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6" tint="0.59999389629810485"/>
        <bgColor indexed="64"/>
      </patternFill>
    </fill>
    <fill>
      <patternFill patternType="solid">
        <fgColor theme="7" tint="0.39997558519241921"/>
        <bgColor indexed="64"/>
      </patternFill>
    </fill>
    <fill>
      <patternFill patternType="solid">
        <fgColor theme="6" tint="0.39997558519241921"/>
        <bgColor indexed="65"/>
      </patternFill>
    </fill>
    <fill>
      <patternFill patternType="solid">
        <fgColor theme="7" tint="0.79998168889431442"/>
        <bgColor indexed="64"/>
      </patternFill>
    </fill>
    <fill>
      <patternFill patternType="solid">
        <fgColor theme="7" tint="0.79998168889431442"/>
        <bgColor theme="4"/>
      </patternFill>
    </fill>
    <fill>
      <patternFill patternType="solid">
        <fgColor theme="7" tint="0.79998168889431442"/>
        <bgColor theme="4" tint="0.79998168889431442"/>
      </patternFill>
    </fill>
    <fill>
      <patternFill patternType="solid">
        <fgColor theme="9"/>
        <bgColor indexed="64"/>
      </patternFill>
    </fill>
    <fill>
      <patternFill patternType="solid">
        <fgColor rgb="FFFFC000"/>
        <bgColor indexed="64"/>
      </patternFill>
    </fill>
    <fill>
      <patternFill patternType="solid">
        <fgColor theme="5" tint="0.59999389629810485"/>
        <bgColor indexed="64"/>
      </patternFill>
    </fill>
  </fills>
  <borders count="7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000000"/>
      </left>
      <right/>
      <top/>
      <bottom style="medium">
        <color rgb="FF000000"/>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thin">
        <color indexed="64"/>
      </left>
      <right/>
      <top style="medium">
        <color indexed="64"/>
      </top>
      <bottom style="thin">
        <color indexed="64"/>
      </bottom>
      <diagonal/>
    </border>
    <border>
      <left style="thin">
        <color indexed="64"/>
      </left>
      <right style="medium">
        <color indexed="64"/>
      </right>
      <top/>
      <bottom style="medium">
        <color indexed="64"/>
      </bottom>
      <diagonal/>
    </border>
    <border>
      <left/>
      <right style="thin">
        <color indexed="64"/>
      </right>
      <top/>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0" fontId="1" fillId="0" borderId="0"/>
    <xf numFmtId="169" fontId="16" fillId="0" borderId="0" applyFont="0" applyFill="0" applyBorder="0" applyAlignment="0" applyProtection="0"/>
    <xf numFmtId="0" fontId="11" fillId="0" borderId="0"/>
    <xf numFmtId="0" fontId="16" fillId="0" borderId="0"/>
    <xf numFmtId="0" fontId="1" fillId="18" borderId="0" applyNumberFormat="0" applyBorder="0" applyAlignment="0" applyProtection="0"/>
    <xf numFmtId="0" fontId="50" fillId="0" borderId="0" applyNumberFormat="0" applyFill="0" applyBorder="0" applyAlignment="0" applyProtection="0">
      <alignment vertical="top"/>
      <protection locked="0"/>
    </xf>
  </cellStyleXfs>
  <cellXfs count="630">
    <xf numFmtId="0" fontId="0" fillId="0" borderId="0" xfId="0"/>
    <xf numFmtId="0" fontId="5" fillId="0" borderId="0" xfId="0" applyFont="1" applyAlignment="1" applyProtection="1">
      <alignment vertical="center"/>
      <protection hidden="1"/>
    </xf>
    <xf numFmtId="0" fontId="5" fillId="3" borderId="0" xfId="0" applyFont="1" applyFill="1" applyAlignment="1" applyProtection="1">
      <alignment vertical="center"/>
      <protection hidden="1"/>
    </xf>
    <xf numFmtId="0" fontId="5" fillId="0" borderId="0" xfId="0" applyFont="1" applyAlignment="1">
      <alignment vertical="center"/>
    </xf>
    <xf numFmtId="0" fontId="5" fillId="0" borderId="0" xfId="0" applyFont="1" applyAlignment="1">
      <alignment horizontal="center" vertical="center"/>
    </xf>
    <xf numFmtId="0" fontId="6" fillId="2" borderId="5" xfId="0" applyFont="1" applyFill="1" applyBorder="1" applyAlignment="1" applyProtection="1">
      <alignment horizontal="center" vertical="center" wrapText="1"/>
      <protection hidden="1"/>
    </xf>
    <xf numFmtId="0" fontId="6" fillId="5" borderId="5" xfId="0" applyFont="1" applyFill="1" applyBorder="1" applyAlignment="1" applyProtection="1">
      <alignment horizontal="center" vertical="center" wrapText="1"/>
      <protection hidden="1"/>
    </xf>
    <xf numFmtId="0" fontId="10" fillId="5" borderId="5" xfId="0" applyFont="1" applyFill="1" applyBorder="1" applyAlignment="1" applyProtection="1">
      <alignment horizontal="center" vertical="center" wrapText="1"/>
      <protection hidden="1"/>
    </xf>
    <xf numFmtId="0" fontId="7" fillId="2" borderId="5" xfId="0" applyFont="1" applyFill="1" applyBorder="1" applyAlignment="1" applyProtection="1">
      <alignment horizontal="center" vertical="center" wrapText="1"/>
      <protection hidden="1"/>
    </xf>
    <xf numFmtId="0" fontId="7" fillId="5" borderId="0" xfId="0" applyFont="1" applyFill="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0" fontId="5" fillId="6" borderId="5" xfId="0" applyFont="1" applyFill="1" applyBorder="1" applyAlignment="1" applyProtection="1">
      <alignment vertical="center"/>
      <protection locked="0" hidden="1"/>
    </xf>
    <xf numFmtId="0" fontId="5" fillId="0" borderId="5" xfId="0" applyFont="1" applyBorder="1" applyAlignment="1">
      <alignment horizontal="center" vertical="center"/>
    </xf>
    <xf numFmtId="0" fontId="11" fillId="6" borderId="5" xfId="0" applyFont="1" applyFill="1" applyBorder="1" applyAlignment="1" applyProtection="1">
      <alignment vertical="center"/>
      <protection locked="0" hidden="1"/>
    </xf>
    <xf numFmtId="0" fontId="5" fillId="5" borderId="0" xfId="0" applyFont="1" applyFill="1" applyAlignment="1" applyProtection="1">
      <alignment vertical="center"/>
      <protection locked="0" hidden="1"/>
    </xf>
    <xf numFmtId="0" fontId="5" fillId="5" borderId="0" xfId="0" applyFont="1" applyFill="1" applyAlignment="1">
      <alignment horizontal="center" vertical="center"/>
    </xf>
    <xf numFmtId="0" fontId="12" fillId="5" borderId="0" xfId="0" applyFont="1" applyFill="1" applyAlignment="1" applyProtection="1">
      <alignment vertical="center"/>
      <protection locked="0" hidden="1"/>
    </xf>
    <xf numFmtId="0" fontId="5" fillId="5" borderId="5" xfId="0" applyFont="1" applyFill="1" applyBorder="1" applyAlignment="1">
      <alignment horizontal="center" vertical="center"/>
    </xf>
    <xf numFmtId="0" fontId="5" fillId="0" borderId="1" xfId="0" applyFont="1" applyBorder="1" applyAlignment="1">
      <alignment horizontal="center" vertical="center"/>
    </xf>
    <xf numFmtId="0" fontId="11" fillId="6" borderId="1" xfId="0" applyFont="1" applyFill="1" applyBorder="1" applyAlignment="1" applyProtection="1">
      <alignment vertical="center"/>
      <protection locked="0" hidden="1"/>
    </xf>
    <xf numFmtId="0" fontId="5" fillId="0" borderId="5" xfId="0" applyFont="1" applyBorder="1" applyAlignment="1" applyProtection="1">
      <alignment vertical="center"/>
      <protection hidden="1"/>
    </xf>
    <xf numFmtId="0" fontId="5" fillId="0" borderId="2" xfId="0" applyFont="1" applyBorder="1" applyAlignment="1">
      <alignment horizontal="center" vertical="center"/>
    </xf>
    <xf numFmtId="0" fontId="13" fillId="5" borderId="0" xfId="0" applyFont="1" applyFill="1" applyAlignment="1">
      <alignment horizontal="center" vertical="center"/>
    </xf>
    <xf numFmtId="0" fontId="13" fillId="5" borderId="0" xfId="0" applyFont="1" applyFill="1" applyAlignment="1" applyProtection="1">
      <alignment vertical="center"/>
      <protection locked="0" hidden="1"/>
    </xf>
    <xf numFmtId="0" fontId="13" fillId="5" borderId="0" xfId="0" applyFont="1" applyFill="1" applyAlignment="1" applyProtection="1">
      <alignment horizontal="center" vertical="center"/>
      <protection hidden="1"/>
    </xf>
    <xf numFmtId="0" fontId="5" fillId="5" borderId="0" xfId="0" applyFont="1" applyFill="1" applyAlignment="1" applyProtection="1">
      <alignment vertical="center"/>
      <protection hidden="1"/>
    </xf>
    <xf numFmtId="0" fontId="5" fillId="5" borderId="0" xfId="0" applyFont="1" applyFill="1" applyAlignment="1">
      <alignment vertical="center"/>
    </xf>
    <xf numFmtId="0" fontId="7" fillId="5" borderId="0" xfId="0" applyFont="1" applyFill="1" applyAlignment="1">
      <alignment horizontal="center" vertical="center"/>
    </xf>
    <xf numFmtId="0" fontId="7" fillId="5" borderId="0" xfId="0" applyFont="1" applyFill="1" applyAlignment="1" applyProtection="1">
      <alignment horizontal="center" vertical="center"/>
      <protection locked="0" hidden="1"/>
    </xf>
    <xf numFmtId="0" fontId="7" fillId="0" borderId="0" xfId="0" applyFont="1" applyAlignment="1">
      <alignment horizontal="center" vertical="center"/>
    </xf>
    <xf numFmtId="0" fontId="7" fillId="0" borderId="5" xfId="0" applyFont="1" applyBorder="1" applyAlignment="1" applyProtection="1">
      <alignment horizontal="center" vertical="center"/>
      <protection hidden="1"/>
    </xf>
    <xf numFmtId="0" fontId="5" fillId="5" borderId="0" xfId="0" applyFont="1" applyFill="1" applyAlignment="1" applyProtection="1">
      <alignment vertical="center" wrapText="1"/>
      <protection hidden="1"/>
    </xf>
    <xf numFmtId="0" fontId="5" fillId="0" borderId="5" xfId="0" applyFont="1" applyBorder="1" applyAlignment="1" applyProtection="1">
      <alignment vertical="center" wrapText="1"/>
      <protection hidden="1"/>
    </xf>
    <xf numFmtId="0" fontId="8" fillId="5" borderId="0" xfId="0" applyFont="1" applyFill="1" applyAlignment="1" applyProtection="1">
      <alignment vertical="center"/>
      <protection hidden="1"/>
    </xf>
    <xf numFmtId="0" fontId="7" fillId="5" borderId="0" xfId="0" applyFont="1" applyFill="1" applyAlignment="1" applyProtection="1">
      <alignment vertical="center"/>
      <protection hidden="1"/>
    </xf>
    <xf numFmtId="0" fontId="7" fillId="5" borderId="0" xfId="0" applyFont="1" applyFill="1" applyAlignment="1" applyProtection="1">
      <alignment vertical="center" wrapText="1"/>
      <protection hidden="1"/>
    </xf>
    <xf numFmtId="0" fontId="7" fillId="5" borderId="0" xfId="0" applyFont="1" applyFill="1" applyAlignment="1" applyProtection="1">
      <alignment horizontal="center" vertical="center"/>
      <protection hidden="1"/>
    </xf>
    <xf numFmtId="0" fontId="15" fillId="5" borderId="0" xfId="0" applyFont="1" applyFill="1" applyAlignment="1" applyProtection="1">
      <alignment horizontal="center" vertical="center"/>
      <protection hidden="1"/>
    </xf>
    <xf numFmtId="0" fontId="15" fillId="5" borderId="5"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protection hidden="1"/>
    </xf>
    <xf numFmtId="167" fontId="7" fillId="0" borderId="5" xfId="4" applyNumberFormat="1" applyFont="1" applyFill="1" applyBorder="1" applyAlignment="1" applyProtection="1">
      <alignment horizontal="center" vertical="center"/>
      <protection hidden="1"/>
    </xf>
    <xf numFmtId="10" fontId="5" fillId="0" borderId="5" xfId="0" applyNumberFormat="1" applyFont="1" applyBorder="1" applyAlignment="1" applyProtection="1">
      <alignment horizontal="center" vertical="center"/>
      <protection hidden="1"/>
    </xf>
    <xf numFmtId="164" fontId="5" fillId="0" borderId="5" xfId="0" applyNumberFormat="1" applyFont="1" applyBorder="1" applyAlignment="1" applyProtection="1">
      <alignment horizontal="center" vertical="center"/>
      <protection hidden="1"/>
    </xf>
    <xf numFmtId="9" fontId="5" fillId="0" borderId="5" xfId="0" applyNumberFormat="1" applyFont="1" applyBorder="1" applyAlignment="1" applyProtection="1">
      <alignment horizontal="center" vertical="center"/>
      <protection hidden="1"/>
    </xf>
    <xf numFmtId="167" fontId="7" fillId="0" borderId="5" xfId="4" applyNumberFormat="1" applyFont="1" applyFill="1" applyBorder="1" applyAlignment="1" applyProtection="1">
      <alignment vertical="center"/>
      <protection hidden="1"/>
    </xf>
    <xf numFmtId="167" fontId="5" fillId="0" borderId="5" xfId="0" applyNumberFormat="1" applyFont="1" applyBorder="1" applyAlignment="1" applyProtection="1">
      <alignment vertical="center"/>
      <protection hidden="1"/>
    </xf>
    <xf numFmtId="0" fontId="9" fillId="0" borderId="0" xfId="0" applyFont="1" applyAlignment="1" applyProtection="1">
      <alignment horizontal="right" vertical="center"/>
      <protection hidden="1"/>
    </xf>
    <xf numFmtId="0" fontId="6" fillId="0" borderId="0" xfId="0" applyFont="1" applyAlignment="1" applyProtection="1">
      <alignment horizontal="center" vertical="center"/>
      <protection hidden="1"/>
    </xf>
    <xf numFmtId="0" fontId="7" fillId="5" borderId="0" xfId="0" applyFont="1" applyFill="1" applyAlignment="1" applyProtection="1">
      <alignment horizontal="left" vertical="center"/>
      <protection locked="0"/>
    </xf>
    <xf numFmtId="0" fontId="22" fillId="0" borderId="5" xfId="6" applyFont="1" applyBorder="1" applyAlignment="1">
      <alignment horizontal="justify" vertical="center" wrapText="1"/>
    </xf>
    <xf numFmtId="0" fontId="23" fillId="0" borderId="5" xfId="6" applyFont="1" applyBorder="1" applyAlignment="1">
      <alignment horizontal="justify" vertical="center" wrapText="1"/>
    </xf>
    <xf numFmtId="0" fontId="23" fillId="0" borderId="5" xfId="6" applyFont="1" applyBorder="1" applyAlignment="1">
      <alignment horizontal="center" vertical="center" wrapText="1"/>
    </xf>
    <xf numFmtId="0" fontId="25" fillId="0" borderId="5" xfId="6" applyFont="1" applyBorder="1" applyAlignment="1">
      <alignment horizontal="justify" vertical="center" wrapText="1"/>
    </xf>
    <xf numFmtId="0" fontId="11" fillId="0" borderId="5" xfId="6" applyFont="1" applyBorder="1" applyAlignment="1">
      <alignment horizontal="justify" vertical="center" wrapText="1"/>
    </xf>
    <xf numFmtId="0" fontId="22" fillId="0" borderId="30" xfId="6" applyFont="1" applyBorder="1" applyAlignment="1">
      <alignment horizontal="justify" vertical="center" wrapText="1"/>
    </xf>
    <xf numFmtId="0" fontId="5" fillId="0" borderId="0" xfId="0" applyFont="1" applyAlignment="1" applyProtection="1">
      <alignment vertical="center"/>
      <protection locked="0" hidden="1"/>
    </xf>
    <xf numFmtId="0" fontId="7" fillId="0" borderId="0" xfId="0" applyFont="1" applyAlignment="1" applyProtection="1">
      <alignment horizontal="center" vertical="center"/>
      <protection locked="0" hidden="1"/>
    </xf>
    <xf numFmtId="0" fontId="4" fillId="0" borderId="0" xfId="0" applyFont="1"/>
    <xf numFmtId="0" fontId="4" fillId="0" borderId="5" xfId="0" applyFont="1" applyBorder="1"/>
    <xf numFmtId="0" fontId="32" fillId="0" borderId="0" xfId="0" applyFont="1" applyAlignment="1" applyProtection="1">
      <alignment horizontal="center" vertical="center"/>
      <protection hidden="1"/>
    </xf>
    <xf numFmtId="0" fontId="33"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4" fillId="0" borderId="0" xfId="0" applyFont="1" applyAlignment="1" applyProtection="1">
      <alignment vertical="center"/>
      <protection locked="0"/>
    </xf>
    <xf numFmtId="0" fontId="4" fillId="0" borderId="0" xfId="0" applyFont="1" applyAlignment="1" applyProtection="1">
      <alignment horizontal="right" vertical="center"/>
      <protection hidden="1"/>
    </xf>
    <xf numFmtId="0" fontId="31" fillId="0" borderId="0" xfId="0" applyFont="1" applyAlignment="1" applyProtection="1">
      <alignment horizontal="left" vertical="center"/>
      <protection locked="0"/>
    </xf>
    <xf numFmtId="0" fontId="31" fillId="0" borderId="5" xfId="0" applyFont="1" applyBorder="1" applyAlignment="1" applyProtection="1">
      <alignment horizontal="center" vertical="center"/>
      <protection hidden="1"/>
    </xf>
    <xf numFmtId="0" fontId="31" fillId="0" borderId="0" xfId="0" applyFont="1" applyAlignment="1" applyProtection="1">
      <alignment vertical="center"/>
      <protection hidden="1"/>
    </xf>
    <xf numFmtId="0" fontId="4" fillId="0" borderId="0" xfId="0" applyFont="1" applyAlignment="1">
      <alignment horizontal="center" vertical="center"/>
    </xf>
    <xf numFmtId="0" fontId="4" fillId="0" borderId="23" xfId="0" applyFont="1" applyBorder="1" applyAlignment="1">
      <alignment vertical="center"/>
    </xf>
    <xf numFmtId="0" fontId="4" fillId="0" borderId="24" xfId="0" applyFont="1" applyBorder="1" applyAlignment="1">
      <alignment vertical="center"/>
    </xf>
    <xf numFmtId="0" fontId="4" fillId="0" borderId="0" xfId="0" applyFont="1" applyAlignment="1">
      <alignment vertical="center"/>
    </xf>
    <xf numFmtId="0" fontId="4" fillId="0" borderId="46" xfId="0" applyFont="1" applyBorder="1" applyAlignment="1">
      <alignment vertical="center"/>
    </xf>
    <xf numFmtId="0" fontId="4" fillId="0" borderId="29"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4" fillId="0" borderId="38" xfId="0" applyFont="1" applyBorder="1" applyAlignment="1">
      <alignment horizontal="center" vertical="center"/>
    </xf>
    <xf numFmtId="0" fontId="4" fillId="0" borderId="48" xfId="0" applyFont="1" applyBorder="1" applyAlignment="1">
      <alignment vertical="center"/>
    </xf>
    <xf numFmtId="0" fontId="4" fillId="0" borderId="39" xfId="0" applyFont="1" applyBorder="1" applyAlignment="1">
      <alignment vertical="center"/>
    </xf>
    <xf numFmtId="0" fontId="4" fillId="0" borderId="0" xfId="0" applyFont="1" applyAlignment="1">
      <alignment horizontal="left" vertical="center"/>
    </xf>
    <xf numFmtId="0" fontId="4" fillId="2" borderId="0" xfId="0" applyFont="1" applyFill="1" applyAlignment="1">
      <alignment wrapText="1"/>
    </xf>
    <xf numFmtId="0" fontId="4" fillId="0" borderId="44" xfId="0" applyFont="1" applyBorder="1" applyAlignment="1">
      <alignment horizontal="center" vertical="center"/>
    </xf>
    <xf numFmtId="0" fontId="4" fillId="0" borderId="26" xfId="0" applyFont="1" applyBorder="1" applyAlignment="1">
      <alignment vertical="center"/>
    </xf>
    <xf numFmtId="0" fontId="4" fillId="0" borderId="49" xfId="0" applyFont="1" applyBorder="1" applyAlignment="1">
      <alignment vertical="center"/>
    </xf>
    <xf numFmtId="0" fontId="4" fillId="0" borderId="2" xfId="0" applyFont="1" applyBorder="1" applyAlignment="1">
      <alignment vertical="center"/>
    </xf>
    <xf numFmtId="0" fontId="4" fillId="0" borderId="50" xfId="0" applyFont="1" applyBorder="1" applyAlignment="1">
      <alignment vertical="center"/>
    </xf>
    <xf numFmtId="0" fontId="4" fillId="0" borderId="0" xfId="0" applyFont="1" applyAlignment="1" applyProtection="1">
      <alignment horizontal="center" vertical="center"/>
      <protection locked="0"/>
    </xf>
    <xf numFmtId="0" fontId="24" fillId="5" borderId="0" xfId="0" applyFont="1" applyFill="1" applyAlignment="1" applyProtection="1">
      <alignment vertical="top" wrapText="1"/>
      <protection hidden="1"/>
    </xf>
    <xf numFmtId="0" fontId="14" fillId="0" borderId="0" xfId="0" applyFont="1" applyAlignment="1">
      <alignment vertical="center"/>
    </xf>
    <xf numFmtId="0" fontId="20" fillId="4" borderId="0" xfId="0" applyFont="1" applyFill="1" applyAlignment="1" applyProtection="1">
      <alignment horizontal="center" vertical="center"/>
      <protection hidden="1"/>
    </xf>
    <xf numFmtId="0" fontId="36" fillId="5" borderId="0" xfId="0" applyFont="1" applyFill="1" applyAlignment="1" applyProtection="1">
      <alignment vertical="top" wrapText="1"/>
      <protection hidden="1"/>
    </xf>
    <xf numFmtId="0" fontId="20" fillId="0" borderId="0" xfId="0" applyFont="1" applyAlignment="1" applyProtection="1">
      <alignment horizontal="center" vertical="center"/>
      <protection hidden="1"/>
    </xf>
    <xf numFmtId="0" fontId="17" fillId="0" borderId="0" xfId="0" applyFont="1" applyAlignment="1">
      <alignment horizontal="center" vertical="center"/>
    </xf>
    <xf numFmtId="0" fontId="6" fillId="2" borderId="13" xfId="0" applyFont="1" applyFill="1" applyBorder="1" applyAlignment="1" applyProtection="1">
      <alignment horizontal="center" vertical="center" wrapText="1"/>
      <protection hidden="1"/>
    </xf>
    <xf numFmtId="0" fontId="7" fillId="2" borderId="13" xfId="0" applyFont="1" applyFill="1" applyBorder="1" applyAlignment="1" applyProtection="1">
      <alignment horizontal="center" vertical="center" wrapText="1"/>
      <protection hidden="1"/>
    </xf>
    <xf numFmtId="0" fontId="20" fillId="13" borderId="5" xfId="0" applyFont="1" applyFill="1" applyBorder="1" applyAlignment="1">
      <alignment horizontal="center" vertical="center"/>
    </xf>
    <xf numFmtId="0" fontId="9" fillId="6" borderId="5" xfId="0" applyFont="1" applyFill="1" applyBorder="1" applyAlignment="1" applyProtection="1">
      <alignment horizontal="center" vertical="center"/>
      <protection locked="0" hidden="1"/>
    </xf>
    <xf numFmtId="0" fontId="9" fillId="6" borderId="5" xfId="0" applyFont="1" applyFill="1" applyBorder="1" applyAlignment="1" applyProtection="1">
      <alignment horizontal="center" vertical="center" wrapText="1"/>
      <protection locked="0" hidden="1"/>
    </xf>
    <xf numFmtId="0" fontId="37" fillId="12" borderId="5" xfId="0" applyFont="1" applyFill="1" applyBorder="1" applyAlignment="1">
      <alignment horizontal="center" vertical="center"/>
    </xf>
    <xf numFmtId="0" fontId="5" fillId="0" borderId="5" xfId="0" applyFont="1" applyBorder="1" applyAlignment="1" applyProtection="1">
      <alignment horizontal="center" vertical="center"/>
      <protection hidden="1"/>
    </xf>
    <xf numFmtId="0" fontId="20" fillId="12" borderId="5" xfId="0" applyFont="1" applyFill="1" applyBorder="1" applyAlignment="1" applyProtection="1">
      <alignment horizontal="center" vertical="center"/>
      <protection hidden="1"/>
    </xf>
    <xf numFmtId="1" fontId="5" fillId="0" borderId="5" xfId="0" applyNumberFormat="1" applyFont="1" applyBorder="1" applyAlignment="1">
      <alignment horizontal="center" vertical="center"/>
    </xf>
    <xf numFmtId="0" fontId="0" fillId="15" borderId="57" xfId="0" applyFill="1" applyBorder="1"/>
    <xf numFmtId="0" fontId="0" fillId="15" borderId="58" xfId="0" applyFill="1" applyBorder="1"/>
    <xf numFmtId="9" fontId="0" fillId="15" borderId="58" xfId="0" applyNumberFormat="1" applyFill="1" applyBorder="1" applyAlignment="1">
      <alignment horizontal="center"/>
    </xf>
    <xf numFmtId="0" fontId="0" fillId="0" borderId="57" xfId="0" applyBorder="1"/>
    <xf numFmtId="0" fontId="0" fillId="0" borderId="58" xfId="0" applyBorder="1"/>
    <xf numFmtId="9" fontId="0" fillId="0" borderId="58" xfId="0" applyNumberFormat="1" applyBorder="1" applyAlignment="1">
      <alignment horizontal="center"/>
    </xf>
    <xf numFmtId="0" fontId="5" fillId="0" borderId="5" xfId="0" quotePrefix="1" applyFont="1" applyBorder="1" applyAlignment="1">
      <alignment horizontal="center" vertical="center"/>
    </xf>
    <xf numFmtId="0" fontId="3" fillId="0" borderId="5" xfId="0" applyFont="1" applyBorder="1" applyAlignment="1">
      <alignment horizontal="center" vertical="center"/>
    </xf>
    <xf numFmtId="0" fontId="38" fillId="14" borderId="57" xfId="0" applyFont="1" applyFill="1" applyBorder="1" applyAlignment="1">
      <alignment horizontal="center" wrapText="1"/>
    </xf>
    <xf numFmtId="0" fontId="38" fillId="14" borderId="58" xfId="0" applyFont="1" applyFill="1" applyBorder="1" applyAlignment="1">
      <alignment horizontal="center" wrapText="1"/>
    </xf>
    <xf numFmtId="0" fontId="39" fillId="16" borderId="5" xfId="0" applyFont="1" applyFill="1" applyBorder="1" applyAlignment="1" applyProtection="1">
      <alignment horizontal="center" vertical="center" wrapText="1"/>
      <protection hidden="1"/>
    </xf>
    <xf numFmtId="0" fontId="39" fillId="16" borderId="13" xfId="0" applyFont="1" applyFill="1" applyBorder="1" applyAlignment="1" applyProtection="1">
      <alignment horizontal="center" vertical="center" wrapText="1"/>
      <protection hidden="1"/>
    </xf>
    <xf numFmtId="0" fontId="5" fillId="0" borderId="0" xfId="0" applyFont="1" applyAlignment="1">
      <alignment vertical="center" wrapText="1"/>
    </xf>
    <xf numFmtId="0" fontId="7" fillId="0" borderId="5" xfId="0" applyFont="1" applyBorder="1" applyAlignment="1">
      <alignment horizontal="center" vertical="center" wrapText="1"/>
    </xf>
    <xf numFmtId="0" fontId="6" fillId="0" borderId="5" xfId="0" applyFont="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Alignment="1" applyProtection="1">
      <alignment horizontal="left" vertical="center"/>
      <protection hidden="1"/>
    </xf>
    <xf numFmtId="0" fontId="5" fillId="0" borderId="0" xfId="0" applyFont="1" applyAlignment="1" applyProtection="1">
      <alignment horizontal="justify" vertical="center"/>
      <protection hidden="1"/>
    </xf>
    <xf numFmtId="0" fontId="5" fillId="0" borderId="0" xfId="0" applyFont="1" applyAlignment="1" applyProtection="1">
      <alignment horizontal="center" vertical="center" wrapText="1"/>
      <protection hidden="1"/>
    </xf>
    <xf numFmtId="9" fontId="4" fillId="0" borderId="0" xfId="0" applyNumberFormat="1" applyFont="1" applyAlignment="1">
      <alignment horizontal="center"/>
    </xf>
    <xf numFmtId="9" fontId="7" fillId="8" borderId="5" xfId="0" applyNumberFormat="1" applyFont="1" applyFill="1" applyBorder="1" applyAlignment="1" applyProtection="1">
      <alignment horizontal="center" vertical="center"/>
      <protection hidden="1"/>
    </xf>
    <xf numFmtId="9" fontId="7" fillId="2" borderId="5" xfId="0" applyNumberFormat="1" applyFont="1" applyFill="1" applyBorder="1" applyAlignment="1" applyProtection="1">
      <alignment horizontal="center" vertical="center"/>
      <protection hidden="1"/>
    </xf>
    <xf numFmtId="9" fontId="7" fillId="11" borderId="5" xfId="0" applyNumberFormat="1" applyFont="1" applyFill="1" applyBorder="1" applyAlignment="1" applyProtection="1">
      <alignment horizontal="center" vertical="center"/>
      <protection hidden="1"/>
    </xf>
    <xf numFmtId="0" fontId="17" fillId="0" borderId="24" xfId="0" applyFont="1" applyBorder="1" applyAlignment="1" applyProtection="1">
      <alignment horizontal="center" vertical="center" wrapText="1"/>
      <protection hidden="1"/>
    </xf>
    <xf numFmtId="0" fontId="17" fillId="0" borderId="29" xfId="0" applyFont="1" applyBorder="1" applyAlignment="1" applyProtection="1">
      <alignment horizontal="center" vertical="center" wrapText="1"/>
      <protection hidden="1"/>
    </xf>
    <xf numFmtId="0" fontId="17" fillId="0" borderId="0" xfId="0" applyFont="1" applyAlignment="1" applyProtection="1">
      <alignment vertical="center"/>
      <protection hidden="1"/>
    </xf>
    <xf numFmtId="0" fontId="4" fillId="0" borderId="0" xfId="0" applyFont="1" applyAlignment="1">
      <alignment horizontal="center"/>
    </xf>
    <xf numFmtId="0" fontId="31" fillId="0" borderId="0" xfId="0" applyFont="1" applyAlignment="1" applyProtection="1">
      <alignment horizontal="right" vertical="center"/>
      <protection hidden="1"/>
    </xf>
    <xf numFmtId="0" fontId="31" fillId="0" borderId="0" xfId="0" applyFont="1" applyAlignment="1" applyProtection="1">
      <alignment horizontal="right" vertical="center"/>
      <protection locked="0"/>
    </xf>
    <xf numFmtId="0" fontId="31" fillId="8" borderId="5" xfId="0" applyFont="1" applyFill="1" applyBorder="1" applyAlignment="1">
      <alignment horizontal="center" vertical="center" wrapText="1"/>
    </xf>
    <xf numFmtId="0" fontId="5" fillId="0" borderId="13" xfId="0" applyFont="1" applyBorder="1" applyAlignment="1" applyProtection="1">
      <alignment vertical="center" wrapText="1"/>
      <protection locked="0"/>
    </xf>
    <xf numFmtId="0" fontId="5" fillId="0" borderId="0" xfId="0" applyFont="1"/>
    <xf numFmtId="0" fontId="4" fillId="0" borderId="0" xfId="0" applyFont="1" applyAlignment="1">
      <alignment wrapText="1"/>
    </xf>
    <xf numFmtId="0" fontId="4" fillId="0" borderId="0" xfId="0" applyFont="1" applyAlignment="1">
      <alignment horizontal="justify" vertical="center"/>
    </xf>
    <xf numFmtId="0" fontId="7" fillId="0" borderId="5" xfId="0" applyFont="1" applyBorder="1" applyAlignment="1" applyProtection="1">
      <alignment horizontal="left" vertical="center" wrapText="1"/>
      <protection hidden="1"/>
    </xf>
    <xf numFmtId="0" fontId="5" fillId="0" borderId="5" xfId="0" applyFont="1" applyBorder="1" applyAlignment="1" applyProtection="1">
      <alignment horizontal="left" vertical="center" wrapText="1"/>
      <protection hidden="1"/>
    </xf>
    <xf numFmtId="0" fontId="30" fillId="0" borderId="5" xfId="0" applyFont="1" applyBorder="1" applyAlignment="1">
      <alignment horizontal="left" vertical="center" wrapText="1"/>
    </xf>
    <xf numFmtId="0" fontId="5" fillId="0" borderId="0" xfId="0" applyFont="1" applyAlignment="1">
      <alignment horizontal="left" vertical="center"/>
    </xf>
    <xf numFmtId="0" fontId="4" fillId="0" borderId="0" xfId="0" applyFont="1" applyAlignment="1" applyProtection="1">
      <alignment horizontal="center" vertical="center"/>
      <protection hidden="1"/>
    </xf>
    <xf numFmtId="0" fontId="5" fillId="8" borderId="13" xfId="0" applyFont="1" applyFill="1" applyBorder="1" applyAlignment="1" applyProtection="1">
      <alignment vertical="center" wrapText="1"/>
      <protection locked="0"/>
    </xf>
    <xf numFmtId="0" fontId="5" fillId="8" borderId="13" xfId="0" applyFont="1" applyFill="1" applyBorder="1" applyAlignment="1" applyProtection="1">
      <alignment vertical="center" wrapText="1"/>
      <protection locked="0" hidden="1"/>
    </xf>
    <xf numFmtId="0" fontId="42" fillId="0" borderId="0" xfId="0" applyFont="1"/>
    <xf numFmtId="0" fontId="5" fillId="0" borderId="0" xfId="0" applyFont="1" applyAlignment="1">
      <alignment wrapText="1"/>
    </xf>
    <xf numFmtId="0" fontId="5" fillId="8" borderId="13" xfId="0" applyFont="1" applyFill="1" applyBorder="1" applyAlignment="1">
      <alignment vertical="center" wrapText="1"/>
    </xf>
    <xf numFmtId="0" fontId="5" fillId="8" borderId="5" xfId="0" applyFont="1" applyFill="1" applyBorder="1" applyAlignment="1">
      <alignment vertical="center" wrapText="1"/>
    </xf>
    <xf numFmtId="0" fontId="5" fillId="8" borderId="0" xfId="0" applyFont="1" applyFill="1" applyAlignment="1">
      <alignment vertical="center" wrapText="1"/>
    </xf>
    <xf numFmtId="0" fontId="5" fillId="0" borderId="13" xfId="0" applyFont="1" applyBorder="1" applyAlignment="1">
      <alignment vertical="center" wrapText="1"/>
    </xf>
    <xf numFmtId="0" fontId="5" fillId="7" borderId="13" xfId="0" applyFont="1" applyFill="1" applyBorder="1" applyAlignment="1">
      <alignment vertical="center" wrapText="1"/>
    </xf>
    <xf numFmtId="0" fontId="31" fillId="2" borderId="5" xfId="0" applyFont="1" applyFill="1" applyBorder="1" applyAlignment="1">
      <alignment horizontal="left" vertical="center"/>
    </xf>
    <xf numFmtId="0" fontId="31" fillId="0" borderId="0" xfId="0" applyFont="1" applyAlignment="1">
      <alignment horizontal="center" vertical="center" wrapText="1"/>
    </xf>
    <xf numFmtId="0" fontId="31" fillId="2" borderId="30" xfId="0" applyFont="1" applyFill="1" applyBorder="1" applyAlignment="1">
      <alignment horizontal="left" vertical="center"/>
    </xf>
    <xf numFmtId="165" fontId="43" fillId="21" borderId="5" xfId="7" applyNumberFormat="1" applyFont="1" applyFill="1" applyBorder="1" applyAlignment="1">
      <alignment horizontal="center" vertical="center"/>
    </xf>
    <xf numFmtId="165" fontId="43" fillId="19" borderId="5" xfId="7" applyNumberFormat="1" applyFont="1" applyFill="1" applyBorder="1" applyAlignment="1">
      <alignment horizontal="center" vertical="center"/>
    </xf>
    <xf numFmtId="0" fontId="9" fillId="22" borderId="5" xfId="0" applyFont="1" applyFill="1" applyBorder="1" applyAlignment="1">
      <alignment horizontal="center" vertical="center"/>
    </xf>
    <xf numFmtId="9" fontId="5" fillId="0" borderId="5" xfId="3" applyFont="1" applyBorder="1" applyAlignment="1" applyProtection="1">
      <alignment horizontal="center" vertical="center"/>
      <protection hidden="1"/>
    </xf>
    <xf numFmtId="0" fontId="18" fillId="0" borderId="46" xfId="6" applyFont="1" applyBorder="1" applyAlignment="1">
      <alignment horizontal="center" vertical="center" wrapText="1"/>
    </xf>
    <xf numFmtId="0" fontId="24" fillId="0" borderId="46" xfId="6" applyFont="1" applyBorder="1" applyAlignment="1">
      <alignment horizontal="center" vertical="center" wrapText="1"/>
    </xf>
    <xf numFmtId="0" fontId="18" fillId="0" borderId="25" xfId="6" applyFont="1" applyBorder="1" applyAlignment="1">
      <alignment horizontal="center" vertical="center" wrapText="1"/>
    </xf>
    <xf numFmtId="0" fontId="25" fillId="0" borderId="5" xfId="6" applyFont="1" applyBorder="1" applyAlignment="1">
      <alignment horizontal="center" vertical="center" wrapText="1"/>
    </xf>
    <xf numFmtId="10" fontId="22" fillId="7" borderId="5" xfId="3" applyNumberFormat="1" applyFont="1" applyFill="1" applyBorder="1" applyAlignment="1">
      <alignment horizontal="center" vertical="center" wrapText="1"/>
    </xf>
    <xf numFmtId="0" fontId="22" fillId="0" borderId="0" xfId="6" applyFont="1" applyAlignment="1">
      <alignment horizontal="justify" vertical="center" wrapText="1"/>
    </xf>
    <xf numFmtId="0" fontId="18" fillId="0" borderId="0" xfId="6" applyFont="1" applyAlignment="1">
      <alignment horizontal="justify" vertical="center" wrapText="1"/>
    </xf>
    <xf numFmtId="0" fontId="23" fillId="0" borderId="0" xfId="6" applyFont="1" applyAlignment="1">
      <alignment horizontal="center" vertical="center" wrapText="1"/>
    </xf>
    <xf numFmtId="0" fontId="10" fillId="0" borderId="0" xfId="6" applyFont="1" applyAlignment="1">
      <alignment horizontal="center" vertical="center" textRotation="90" wrapText="1"/>
    </xf>
    <xf numFmtId="0" fontId="22" fillId="0" borderId="0" xfId="6" applyFont="1" applyAlignment="1">
      <alignment horizontal="center" vertical="center" wrapText="1"/>
    </xf>
    <xf numFmtId="10" fontId="19" fillId="0" borderId="0" xfId="6" applyNumberFormat="1" applyFont="1" applyAlignment="1">
      <alignment horizontal="center" vertical="center"/>
    </xf>
    <xf numFmtId="0" fontId="18" fillId="0" borderId="0" xfId="6" applyFont="1" applyAlignment="1">
      <alignment horizontal="center" vertical="center" wrapText="1"/>
    </xf>
    <xf numFmtId="10" fontId="22" fillId="0" borderId="0" xfId="3" applyNumberFormat="1" applyFont="1" applyFill="1" applyBorder="1" applyAlignment="1">
      <alignment horizontal="center" vertical="center" wrapText="1"/>
    </xf>
    <xf numFmtId="0" fontId="23" fillId="0" borderId="0" xfId="6" applyFont="1" applyAlignment="1">
      <alignment horizontal="justify" vertical="center" wrapText="1"/>
    </xf>
    <xf numFmtId="0" fontId="41" fillId="0" borderId="0" xfId="0" applyFont="1" applyAlignment="1">
      <alignment horizontal="center" vertical="center" wrapText="1"/>
    </xf>
    <xf numFmtId="10" fontId="18" fillId="0" borderId="0" xfId="6" applyNumberFormat="1" applyFont="1" applyAlignment="1">
      <alignment horizontal="center" vertical="center"/>
    </xf>
    <xf numFmtId="10" fontId="22" fillId="7" borderId="30" xfId="3" applyNumberFormat="1" applyFont="1" applyFill="1" applyBorder="1" applyAlignment="1">
      <alignment horizontal="center" vertical="center" wrapText="1"/>
    </xf>
    <xf numFmtId="0" fontId="23" fillId="0" borderId="30" xfId="6" applyFont="1" applyBorder="1" applyAlignment="1">
      <alignment horizontal="justify" vertical="center" wrapText="1"/>
    </xf>
    <xf numFmtId="0" fontId="23" fillId="0" borderId="30" xfId="6" applyFont="1" applyBorder="1" applyAlignment="1">
      <alignment horizontal="center" vertical="center" wrapText="1"/>
    </xf>
    <xf numFmtId="0" fontId="4" fillId="2" borderId="0" xfId="0" applyFont="1" applyFill="1"/>
    <xf numFmtId="0" fontId="34" fillId="4" borderId="31" xfId="10" applyFont="1" applyFill="1" applyBorder="1" applyAlignment="1">
      <alignment horizontal="center" vertical="center" wrapText="1"/>
    </xf>
    <xf numFmtId="0" fontId="34" fillId="4" borderId="32" xfId="10" applyFont="1" applyFill="1" applyBorder="1" applyAlignment="1">
      <alignment horizontal="center" vertical="center" wrapText="1"/>
    </xf>
    <xf numFmtId="0" fontId="18" fillId="0" borderId="23" xfId="6" applyFont="1" applyBorder="1" applyAlignment="1">
      <alignment horizontal="center" vertical="center" wrapText="1"/>
    </xf>
    <xf numFmtId="0" fontId="26" fillId="0" borderId="28" xfId="6" applyFont="1" applyBorder="1" applyAlignment="1">
      <alignment horizontal="center" vertical="center" wrapText="1"/>
    </xf>
    <xf numFmtId="10" fontId="22" fillId="7" borderId="28" xfId="3" applyNumberFormat="1" applyFont="1" applyFill="1" applyBorder="1" applyAlignment="1">
      <alignment horizontal="center" vertical="center" wrapText="1"/>
    </xf>
    <xf numFmtId="0" fontId="18" fillId="0" borderId="28" xfId="6" applyFont="1" applyBorder="1" applyAlignment="1">
      <alignment horizontal="justify" vertical="center" wrapText="1"/>
    </xf>
    <xf numFmtId="0" fontId="23" fillId="0" borderId="28" xfId="6" applyFont="1" applyBorder="1" applyAlignment="1">
      <alignment horizontal="center" vertical="center" wrapText="1"/>
    </xf>
    <xf numFmtId="10" fontId="19" fillId="0" borderId="24" xfId="6" applyNumberFormat="1" applyFont="1" applyBorder="1" applyAlignment="1">
      <alignment horizontal="center" vertical="center"/>
    </xf>
    <xf numFmtId="10" fontId="19" fillId="0" borderId="29" xfId="6" applyNumberFormat="1" applyFont="1" applyBorder="1" applyAlignment="1">
      <alignment horizontal="center" vertical="center"/>
    </xf>
    <xf numFmtId="10" fontId="19" fillId="0" borderId="26" xfId="6" applyNumberFormat="1" applyFont="1" applyBorder="1" applyAlignment="1">
      <alignment horizontal="center" vertical="center"/>
    </xf>
    <xf numFmtId="0" fontId="22" fillId="0" borderId="28" xfId="6" applyFont="1" applyBorder="1" applyAlignment="1">
      <alignment horizontal="justify" vertical="center" wrapText="1"/>
    </xf>
    <xf numFmtId="0" fontId="23" fillId="0" borderId="28" xfId="6" applyFont="1" applyBorder="1" applyAlignment="1">
      <alignment horizontal="justify" vertical="center" wrapText="1"/>
    </xf>
    <xf numFmtId="0" fontId="31" fillId="0" borderId="5" xfId="0" applyFont="1" applyBorder="1" applyAlignment="1">
      <alignment wrapText="1"/>
    </xf>
    <xf numFmtId="0" fontId="24" fillId="5" borderId="5" xfId="0" applyFont="1" applyFill="1" applyBorder="1" applyAlignment="1" applyProtection="1">
      <alignment horizontal="left" vertical="center" wrapText="1"/>
      <protection hidden="1"/>
    </xf>
    <xf numFmtId="0" fontId="4" fillId="0" borderId="5" xfId="0" applyFont="1" applyBorder="1" applyAlignment="1">
      <alignment horizontal="center" vertical="center"/>
    </xf>
    <xf numFmtId="10" fontId="31" fillId="0" borderId="5" xfId="0" applyNumberFormat="1" applyFont="1" applyBorder="1" applyAlignment="1">
      <alignment horizontal="center" vertical="center"/>
    </xf>
    <xf numFmtId="9" fontId="0" fillId="0" borderId="0" xfId="3" applyFont="1" applyAlignment="1">
      <alignment horizontal="center" vertical="center"/>
    </xf>
    <xf numFmtId="0" fontId="31" fillId="9" borderId="5" xfId="0" applyFont="1" applyFill="1" applyBorder="1" applyAlignment="1">
      <alignment horizontal="center" vertical="center" wrapText="1"/>
    </xf>
    <xf numFmtId="0" fontId="31" fillId="9" borderId="30" xfId="0" applyFont="1" applyFill="1" applyBorder="1" applyAlignment="1">
      <alignment horizontal="center" vertical="center" wrapText="1"/>
    </xf>
    <xf numFmtId="44" fontId="4" fillId="2" borderId="5" xfId="2" applyFont="1" applyFill="1" applyBorder="1" applyAlignment="1" applyProtection="1">
      <alignment vertical="center"/>
      <protection locked="0" hidden="1"/>
    </xf>
    <xf numFmtId="0" fontId="4" fillId="2" borderId="5" xfId="0" applyFont="1" applyFill="1" applyBorder="1" applyAlignment="1">
      <alignment horizontal="center" vertical="center"/>
    </xf>
    <xf numFmtId="0" fontId="31" fillId="9" borderId="23" xfId="0" applyFont="1" applyFill="1" applyBorder="1" applyAlignment="1">
      <alignment horizontal="center" vertical="center" wrapText="1"/>
    </xf>
    <xf numFmtId="0" fontId="31" fillId="9" borderId="28" xfId="0" applyFont="1" applyFill="1" applyBorder="1" applyAlignment="1">
      <alignment horizontal="center" vertical="center" wrapText="1"/>
    </xf>
    <xf numFmtId="44" fontId="4" fillId="2" borderId="28" xfId="2" applyFont="1" applyFill="1" applyBorder="1" applyAlignment="1" applyProtection="1">
      <alignment vertical="center"/>
      <protection locked="0" hidden="1"/>
    </xf>
    <xf numFmtId="0" fontId="31" fillId="2" borderId="28" xfId="0" applyFont="1" applyFill="1" applyBorder="1" applyAlignment="1">
      <alignment horizontal="left" vertical="center"/>
    </xf>
    <xf numFmtId="0" fontId="4" fillId="2" borderId="28" xfId="0" applyFont="1" applyFill="1" applyBorder="1" applyAlignment="1">
      <alignment horizontal="center" vertical="center"/>
    </xf>
    <xf numFmtId="0" fontId="31" fillId="0" borderId="24" xfId="0" applyFont="1" applyBorder="1" applyAlignment="1">
      <alignment horizontal="left" vertical="center" wrapText="1"/>
    </xf>
    <xf numFmtId="0" fontId="31" fillId="9" borderId="46" xfId="0" applyFont="1" applyFill="1" applyBorder="1" applyAlignment="1">
      <alignment horizontal="center" vertical="center" wrapText="1"/>
    </xf>
    <xf numFmtId="0" fontId="31" fillId="0" borderId="29" xfId="0" applyFont="1" applyBorder="1" applyAlignment="1">
      <alignment horizontal="left" vertical="center" wrapText="1"/>
    </xf>
    <xf numFmtId="0" fontId="4" fillId="2" borderId="30" xfId="0" applyFont="1" applyFill="1" applyBorder="1" applyAlignment="1">
      <alignment horizontal="center" vertical="center"/>
    </xf>
    <xf numFmtId="0" fontId="31" fillId="0" borderId="26" xfId="0" applyFont="1" applyBorder="1" applyAlignment="1">
      <alignment horizontal="left" vertical="center" wrapText="1"/>
    </xf>
    <xf numFmtId="0" fontId="31" fillId="0" borderId="5" xfId="0" applyFont="1" applyBorder="1" applyAlignment="1">
      <alignment vertical="center" wrapText="1"/>
    </xf>
    <xf numFmtId="0" fontId="34" fillId="4" borderId="59" xfId="0" applyFont="1" applyFill="1" applyBorder="1" applyAlignment="1">
      <alignment horizontal="center" vertical="center" wrapText="1"/>
    </xf>
    <xf numFmtId="0" fontId="9" fillId="0" borderId="0" xfId="0" applyFont="1" applyAlignment="1">
      <alignment horizontal="center" vertical="center"/>
    </xf>
    <xf numFmtId="0" fontId="34" fillId="4" borderId="33" xfId="0" applyFont="1" applyFill="1" applyBorder="1" applyAlignment="1">
      <alignment horizontal="center" vertical="center" wrapText="1"/>
    </xf>
    <xf numFmtId="0" fontId="34" fillId="4" borderId="60" xfId="0" applyFont="1" applyFill="1" applyBorder="1" applyAlignment="1">
      <alignment horizontal="center" vertical="center" wrapText="1"/>
    </xf>
    <xf numFmtId="165" fontId="20" fillId="4" borderId="33" xfId="7" applyNumberFormat="1" applyFont="1" applyFill="1" applyBorder="1" applyAlignment="1" applyProtection="1">
      <alignment horizontal="center" vertical="center" wrapText="1"/>
    </xf>
    <xf numFmtId="165" fontId="20" fillId="4" borderId="59" xfId="7" applyNumberFormat="1" applyFont="1" applyFill="1" applyBorder="1" applyAlignment="1" applyProtection="1">
      <alignment horizontal="center" vertical="center"/>
    </xf>
    <xf numFmtId="165" fontId="20" fillId="4" borderId="59" xfId="7" applyNumberFormat="1" applyFont="1" applyFill="1" applyBorder="1" applyAlignment="1" applyProtection="1">
      <alignment horizontal="center" vertical="center" wrapText="1"/>
    </xf>
    <xf numFmtId="165" fontId="20" fillId="4" borderId="60" xfId="7" applyNumberFormat="1" applyFont="1" applyFill="1" applyBorder="1" applyAlignment="1" applyProtection="1">
      <alignment horizontal="center" vertical="center"/>
    </xf>
    <xf numFmtId="0" fontId="9" fillId="0" borderId="13" xfId="0" applyFont="1" applyBorder="1" applyAlignment="1">
      <alignment horizontal="center" vertical="center"/>
    </xf>
    <xf numFmtId="0" fontId="4" fillId="2" borderId="5" xfId="0" applyFont="1" applyFill="1" applyBorder="1" applyAlignment="1">
      <alignment horizontal="center" vertical="center" wrapText="1"/>
    </xf>
    <xf numFmtId="165" fontId="20" fillId="4" borderId="12" xfId="7" applyNumberFormat="1" applyFont="1" applyFill="1" applyBorder="1" applyAlignment="1" applyProtection="1">
      <alignment horizontal="center" vertical="center" wrapText="1"/>
    </xf>
    <xf numFmtId="3" fontId="4" fillId="0" borderId="0" xfId="0" applyNumberFormat="1" applyFont="1" applyAlignment="1" applyProtection="1">
      <alignment vertical="center"/>
      <protection locked="0" hidden="1"/>
    </xf>
    <xf numFmtId="0" fontId="31" fillId="0" borderId="0" xfId="0" applyFont="1" applyAlignment="1">
      <alignment horizontal="left" vertical="center"/>
    </xf>
    <xf numFmtId="44" fontId="31" fillId="2" borderId="27" xfId="2" applyFont="1" applyFill="1" applyBorder="1" applyAlignment="1" applyProtection="1">
      <alignment vertical="center"/>
      <protection hidden="1"/>
    </xf>
    <xf numFmtId="0" fontId="4" fillId="0" borderId="25" xfId="0" applyFont="1" applyBorder="1" applyAlignment="1">
      <alignment horizontal="center" vertical="center"/>
    </xf>
    <xf numFmtId="44" fontId="4" fillId="2" borderId="30" xfId="2" applyFont="1" applyFill="1" applyBorder="1" applyAlignment="1" applyProtection="1">
      <alignment vertical="center"/>
      <protection locked="0" hidden="1"/>
    </xf>
    <xf numFmtId="170" fontId="4" fillId="2" borderId="5" xfId="3" applyNumberFormat="1" applyFont="1" applyFill="1" applyBorder="1" applyAlignment="1" applyProtection="1">
      <alignment horizontal="center" vertical="center"/>
      <protection hidden="1"/>
    </xf>
    <xf numFmtId="164" fontId="5" fillId="5" borderId="5" xfId="0" applyNumberFormat="1" applyFont="1" applyFill="1" applyBorder="1" applyAlignment="1">
      <alignment horizontal="center" vertical="center"/>
    </xf>
    <xf numFmtId="164" fontId="7" fillId="5" borderId="5" xfId="3" applyNumberFormat="1" applyFont="1" applyFill="1" applyBorder="1" applyAlignment="1" applyProtection="1">
      <alignment horizontal="center" vertical="center"/>
      <protection hidden="1"/>
    </xf>
    <xf numFmtId="164" fontId="5" fillId="5" borderId="5" xfId="3" applyNumberFormat="1" applyFont="1" applyFill="1" applyBorder="1" applyAlignment="1" applyProtection="1">
      <alignment horizontal="center" vertical="center"/>
      <protection hidden="1"/>
    </xf>
    <xf numFmtId="43" fontId="7" fillId="5" borderId="28" xfId="1" applyFont="1" applyFill="1" applyBorder="1" applyAlignment="1" applyProtection="1">
      <alignment horizontal="center" vertical="center"/>
      <protection hidden="1"/>
    </xf>
    <xf numFmtId="43" fontId="7" fillId="5" borderId="5" xfId="1" applyFont="1" applyFill="1" applyBorder="1" applyAlignment="1" applyProtection="1">
      <alignment horizontal="center" vertical="center"/>
      <protection hidden="1"/>
    </xf>
    <xf numFmtId="43" fontId="5" fillId="5" borderId="5" xfId="1" applyFont="1" applyFill="1" applyBorder="1" applyAlignment="1" applyProtection="1">
      <alignment horizontal="center" vertical="center"/>
      <protection hidden="1"/>
    </xf>
    <xf numFmtId="0" fontId="7" fillId="3" borderId="48" xfId="0" applyFont="1" applyFill="1" applyBorder="1" applyAlignment="1" applyProtection="1">
      <alignment horizontal="center" vertical="center"/>
      <protection hidden="1"/>
    </xf>
    <xf numFmtId="0" fontId="7" fillId="3" borderId="47" xfId="0" applyFont="1" applyFill="1" applyBorder="1" applyAlignment="1" applyProtection="1">
      <alignment horizontal="center" vertical="center" wrapText="1"/>
      <protection hidden="1"/>
    </xf>
    <xf numFmtId="0" fontId="6" fillId="3" borderId="47" xfId="0" applyFont="1" applyFill="1" applyBorder="1" applyAlignment="1" applyProtection="1">
      <alignment horizontal="center" vertical="center" wrapText="1"/>
      <protection hidden="1"/>
    </xf>
    <xf numFmtId="0" fontId="6" fillId="3" borderId="47" xfId="0" applyFont="1" applyFill="1" applyBorder="1" applyAlignment="1" applyProtection="1">
      <alignment horizontal="center" vertical="center"/>
      <protection hidden="1"/>
    </xf>
    <xf numFmtId="0" fontId="7" fillId="3" borderId="55" xfId="0" applyFont="1" applyFill="1" applyBorder="1" applyAlignment="1" applyProtection="1">
      <alignment horizontal="center" vertical="center" wrapText="1"/>
      <protection hidden="1"/>
    </xf>
    <xf numFmtId="164" fontId="7" fillId="5" borderId="28" xfId="3" applyNumberFormat="1" applyFont="1" applyFill="1" applyBorder="1" applyAlignment="1" applyProtection="1">
      <alignment horizontal="center" vertical="center"/>
      <protection hidden="1"/>
    </xf>
    <xf numFmtId="164" fontId="5" fillId="5" borderId="30" xfId="3" applyNumberFormat="1" applyFont="1" applyFill="1" applyBorder="1" applyAlignment="1" applyProtection="1">
      <alignment horizontal="center" vertical="center"/>
      <protection hidden="1"/>
    </xf>
    <xf numFmtId="43" fontId="5" fillId="5" borderId="30" xfId="1" applyFont="1" applyFill="1" applyBorder="1" applyAlignment="1" applyProtection="1">
      <alignment horizontal="center" vertical="center"/>
      <protection hidden="1"/>
    </xf>
    <xf numFmtId="0" fontId="4" fillId="0" borderId="30" xfId="0" applyFont="1" applyBorder="1" applyAlignment="1">
      <alignment horizontal="left" vertical="center" wrapText="1"/>
    </xf>
    <xf numFmtId="0" fontId="4" fillId="0" borderId="28" xfId="0" applyFont="1" applyBorder="1" applyAlignment="1">
      <alignment horizontal="left" vertical="center" wrapText="1"/>
    </xf>
    <xf numFmtId="0" fontId="4" fillId="0" borderId="57" xfId="0" applyFont="1" applyBorder="1"/>
    <xf numFmtId="0" fontId="4" fillId="0" borderId="58" xfId="0" applyFont="1" applyBorder="1"/>
    <xf numFmtId="0" fontId="2" fillId="0" borderId="0" xfId="0" applyFont="1"/>
    <xf numFmtId="0" fontId="2" fillId="0" borderId="0" xfId="0" applyFont="1" applyAlignment="1">
      <alignment horizontal="left"/>
    </xf>
    <xf numFmtId="0" fontId="0" fillId="0" borderId="0" xfId="0" applyAlignment="1">
      <alignment horizontal="left"/>
    </xf>
    <xf numFmtId="0" fontId="31" fillId="0" borderId="0" xfId="0" applyFont="1"/>
    <xf numFmtId="0" fontId="0" fillId="19" borderId="0" xfId="0" applyFill="1" applyAlignment="1">
      <alignment horizontal="left"/>
    </xf>
    <xf numFmtId="0" fontId="0" fillId="19" borderId="0" xfId="0" applyFill="1"/>
    <xf numFmtId="0" fontId="2" fillId="19" borderId="0" xfId="0" applyFont="1" applyFill="1" applyAlignment="1">
      <alignment horizontal="left"/>
    </xf>
    <xf numFmtId="0" fontId="10" fillId="0" borderId="28" xfId="6" applyFont="1" applyBorder="1" applyAlignment="1">
      <alignment vertical="center" wrapText="1"/>
    </xf>
    <xf numFmtId="0" fontId="23" fillId="0" borderId="28" xfId="6" applyFont="1" applyBorder="1" applyAlignment="1">
      <alignment vertical="center" wrapText="1"/>
    </xf>
    <xf numFmtId="0" fontId="22" fillId="0" borderId="28" xfId="6" applyFont="1" applyBorder="1" applyAlignment="1">
      <alignment vertical="center" wrapText="1"/>
    </xf>
    <xf numFmtId="0" fontId="29" fillId="17" borderId="5" xfId="0" applyFont="1" applyFill="1" applyBorder="1" applyAlignment="1" applyProtection="1">
      <alignment vertical="center" wrapText="1"/>
      <protection hidden="1"/>
    </xf>
    <xf numFmtId="0" fontId="4" fillId="0" borderId="28" xfId="0" applyFont="1" applyBorder="1" applyAlignment="1" applyProtection="1">
      <alignment horizontal="left" vertical="center" wrapText="1"/>
      <protection hidden="1"/>
    </xf>
    <xf numFmtId="0" fontId="4" fillId="9" borderId="28" xfId="0" applyFont="1" applyFill="1" applyBorder="1" applyAlignment="1">
      <alignment horizontal="left" vertical="center" wrapText="1"/>
    </xf>
    <xf numFmtId="0" fontId="4" fillId="9" borderId="5" xfId="0" applyFont="1" applyFill="1" applyBorder="1" applyAlignment="1">
      <alignment horizontal="left" vertical="center" wrapText="1"/>
    </xf>
    <xf numFmtId="0" fontId="4" fillId="9" borderId="30" xfId="0" applyFont="1" applyFill="1" applyBorder="1" applyAlignment="1">
      <alignment horizontal="left" vertical="center" wrapText="1"/>
    </xf>
    <xf numFmtId="0" fontId="7" fillId="0" borderId="0" xfId="0" applyFont="1" applyAlignment="1" applyProtection="1">
      <alignment horizontal="left" vertical="center" wrapText="1"/>
      <protection hidden="1"/>
    </xf>
    <xf numFmtId="0" fontId="24" fillId="0" borderId="29" xfId="0" applyFont="1" applyBorder="1" applyAlignment="1" applyProtection="1">
      <alignment horizontal="center" vertical="center" wrapText="1"/>
      <protection hidden="1"/>
    </xf>
    <xf numFmtId="0" fontId="24" fillId="0" borderId="26" xfId="0" applyFont="1" applyBorder="1" applyAlignment="1" applyProtection="1">
      <alignment horizontal="center" vertical="center" wrapText="1"/>
      <protection hidden="1"/>
    </xf>
    <xf numFmtId="164" fontId="7" fillId="5" borderId="30" xfId="3" applyNumberFormat="1" applyFont="1" applyFill="1" applyBorder="1" applyAlignment="1" applyProtection="1">
      <alignment horizontal="center" vertical="center"/>
      <protection hidden="1"/>
    </xf>
    <xf numFmtId="43" fontId="7" fillId="5" borderId="30" xfId="1" applyFont="1" applyFill="1" applyBorder="1" applyAlignment="1" applyProtection="1">
      <alignment horizontal="center" vertical="center"/>
      <protection hidden="1"/>
    </xf>
    <xf numFmtId="0" fontId="7" fillId="3" borderId="60"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protection hidden="1"/>
    </xf>
    <xf numFmtId="0" fontId="7" fillId="3" borderId="59" xfId="0" applyFont="1" applyFill="1" applyBorder="1" applyAlignment="1" applyProtection="1">
      <alignment horizontal="center" vertical="center" wrapText="1"/>
      <protection hidden="1"/>
    </xf>
    <xf numFmtId="0" fontId="6" fillId="3" borderId="59" xfId="0" applyFont="1" applyFill="1" applyBorder="1" applyAlignment="1" applyProtection="1">
      <alignment horizontal="center" vertical="center" wrapText="1"/>
      <protection hidden="1"/>
    </xf>
    <xf numFmtId="0" fontId="6" fillId="3" borderId="59" xfId="0" applyFont="1" applyFill="1" applyBorder="1" applyAlignment="1" applyProtection="1">
      <alignment horizontal="center" vertical="center"/>
      <protection hidden="1"/>
    </xf>
    <xf numFmtId="0" fontId="17" fillId="0" borderId="26" xfId="0" applyFont="1" applyBorder="1" applyAlignment="1" applyProtection="1">
      <alignment horizontal="center" vertical="center" wrapText="1"/>
      <protection hidden="1"/>
    </xf>
    <xf numFmtId="0" fontId="29" fillId="17" borderId="28" xfId="0" applyFont="1" applyFill="1" applyBorder="1" applyAlignment="1" applyProtection="1">
      <alignment vertical="center" wrapText="1"/>
      <protection hidden="1"/>
    </xf>
    <xf numFmtId="0" fontId="51" fillId="0" borderId="63" xfId="0" applyFont="1" applyBorder="1" applyAlignment="1">
      <alignment horizontal="center" vertical="center" wrapText="1"/>
    </xf>
    <xf numFmtId="0" fontId="52" fillId="0" borderId="63" xfId="0" applyFont="1" applyBorder="1" applyAlignment="1">
      <alignment horizontal="center" vertical="center" wrapText="1"/>
    </xf>
    <xf numFmtId="0" fontId="18" fillId="0" borderId="63" xfId="0" applyFont="1" applyBorder="1" applyAlignment="1">
      <alignment horizontal="center" vertical="center" wrapText="1"/>
    </xf>
    <xf numFmtId="0" fontId="53" fillId="4" borderId="27" xfId="0" applyFont="1" applyFill="1" applyBorder="1" applyAlignment="1">
      <alignment horizontal="center" vertical="center" wrapText="1"/>
    </xf>
    <xf numFmtId="10" fontId="31" fillId="0" borderId="5" xfId="3" applyNumberFormat="1" applyFont="1" applyFill="1" applyBorder="1" applyAlignment="1" applyProtection="1">
      <alignment horizontal="center" vertical="center"/>
      <protection hidden="1"/>
    </xf>
    <xf numFmtId="0" fontId="4" fillId="0" borderId="30" xfId="0" applyFont="1" applyBorder="1" applyAlignment="1" applyProtection="1">
      <alignment horizontal="center" vertical="center"/>
      <protection hidden="1"/>
    </xf>
    <xf numFmtId="0" fontId="31" fillId="0" borderId="28" xfId="0" applyFont="1" applyBorder="1" applyAlignment="1" applyProtection="1">
      <alignment horizontal="center" vertical="center"/>
      <protection hidden="1"/>
    </xf>
    <xf numFmtId="170" fontId="4" fillId="23" borderId="5" xfId="3" applyNumberFormat="1" applyFont="1" applyFill="1" applyBorder="1" applyAlignment="1" applyProtection="1">
      <alignment horizontal="center" vertical="center"/>
      <protection hidden="1"/>
    </xf>
    <xf numFmtId="44" fontId="4" fillId="7" borderId="5" xfId="2" applyFont="1" applyFill="1" applyBorder="1" applyAlignment="1" applyProtection="1">
      <alignment vertical="center"/>
      <protection hidden="1"/>
    </xf>
    <xf numFmtId="10" fontId="4" fillId="7" borderId="5" xfId="3" applyNumberFormat="1" applyFont="1" applyFill="1" applyBorder="1" applyAlignment="1" applyProtection="1">
      <alignment horizontal="center" vertical="center"/>
      <protection hidden="1"/>
    </xf>
    <xf numFmtId="0" fontId="31" fillId="0" borderId="5" xfId="0" applyFont="1" applyBorder="1" applyAlignment="1">
      <alignment horizontal="center" vertical="center"/>
    </xf>
    <xf numFmtId="0" fontId="31" fillId="0" borderId="13" xfId="0" applyFont="1" applyBorder="1" applyAlignment="1">
      <alignment horizontal="center" vertical="center"/>
    </xf>
    <xf numFmtId="2" fontId="31" fillId="0" borderId="5" xfId="0" applyNumberFormat="1" applyFont="1" applyBorder="1" applyAlignment="1">
      <alignment horizontal="center" vertical="center"/>
    </xf>
    <xf numFmtId="0" fontId="4" fillId="2" borderId="5" xfId="3" applyNumberFormat="1" applyFont="1" applyFill="1" applyBorder="1" applyAlignment="1" applyProtection="1">
      <alignment horizontal="center" vertical="center"/>
      <protection hidden="1"/>
    </xf>
    <xf numFmtId="171" fontId="4" fillId="2" borderId="5" xfId="3" applyNumberFormat="1" applyFont="1" applyFill="1" applyBorder="1" applyAlignment="1" applyProtection="1">
      <alignment horizontal="center" vertical="center"/>
      <protection hidden="1"/>
    </xf>
    <xf numFmtId="0" fontId="4" fillId="23" borderId="5" xfId="3" applyNumberFormat="1" applyFont="1" applyFill="1" applyBorder="1" applyAlignment="1" applyProtection="1">
      <alignment horizontal="center" vertical="center"/>
      <protection hidden="1"/>
    </xf>
    <xf numFmtId="0" fontId="31" fillId="24" borderId="5" xfId="0" applyFont="1" applyFill="1" applyBorder="1" applyAlignment="1">
      <alignment horizontal="justify" vertical="center"/>
    </xf>
    <xf numFmtId="49" fontId="31" fillId="24" borderId="5" xfId="0" applyNumberFormat="1" applyFont="1" applyFill="1" applyBorder="1" applyAlignment="1" applyProtection="1">
      <alignment horizontal="justify" vertical="center"/>
      <protection locked="0"/>
    </xf>
    <xf numFmtId="0" fontId="31" fillId="17" borderId="5" xfId="0" applyFont="1" applyFill="1" applyBorder="1" applyAlignment="1">
      <alignment horizontal="center" vertical="center" wrapText="1"/>
    </xf>
    <xf numFmtId="0" fontId="54" fillId="4" borderId="5" xfId="0" applyFont="1" applyFill="1" applyBorder="1" applyAlignment="1">
      <alignment horizontal="center" vertical="center" wrapText="1"/>
    </xf>
    <xf numFmtId="0" fontId="54" fillId="4" borderId="5" xfId="0" applyFont="1" applyFill="1" applyBorder="1" applyAlignment="1" applyProtection="1">
      <alignment horizontal="center" vertical="center" wrapText="1"/>
      <protection hidden="1"/>
    </xf>
    <xf numFmtId="167" fontId="7" fillId="0" borderId="13" xfId="4" applyNumberFormat="1" applyFont="1" applyFill="1" applyBorder="1" applyAlignment="1" applyProtection="1">
      <alignment horizontal="center" vertical="center"/>
      <protection hidden="1"/>
    </xf>
    <xf numFmtId="10" fontId="5" fillId="0" borderId="13" xfId="0" applyNumberFormat="1" applyFont="1" applyBorder="1" applyAlignment="1" applyProtection="1">
      <alignment horizontal="center" vertical="center"/>
      <protection hidden="1"/>
    </xf>
    <xf numFmtId="164" fontId="5" fillId="0" borderId="13" xfId="0" applyNumberFormat="1" applyFont="1" applyBorder="1" applyAlignment="1" applyProtection="1">
      <alignment horizontal="center" vertical="center"/>
      <protection hidden="1"/>
    </xf>
    <xf numFmtId="9" fontId="5" fillId="0" borderId="13" xfId="0" applyNumberFormat="1" applyFont="1" applyBorder="1" applyAlignment="1" applyProtection="1">
      <alignment horizontal="center" vertical="center"/>
      <protection hidden="1"/>
    </xf>
    <xf numFmtId="0" fontId="5" fillId="0" borderId="13" xfId="0" applyFont="1" applyBorder="1" applyAlignment="1" applyProtection="1">
      <alignment horizontal="center" vertical="center"/>
      <protection hidden="1"/>
    </xf>
    <xf numFmtId="0" fontId="53" fillId="4" borderId="55" xfId="0" applyFont="1" applyFill="1" applyBorder="1" applyAlignment="1" applyProtection="1">
      <alignment horizontal="left" vertical="center" wrapText="1"/>
      <protection hidden="1"/>
    </xf>
    <xf numFmtId="0" fontId="53" fillId="4" borderId="47" xfId="0" applyFont="1" applyFill="1" applyBorder="1" applyAlignment="1" applyProtection="1">
      <alignment horizontal="center" vertical="center" wrapText="1"/>
      <protection hidden="1"/>
    </xf>
    <xf numFmtId="9" fontId="53" fillId="4" borderId="55" xfId="0" applyNumberFormat="1" applyFont="1" applyFill="1" applyBorder="1" applyAlignment="1" applyProtection="1">
      <alignment horizontal="center" vertical="center" wrapText="1"/>
      <protection hidden="1"/>
    </xf>
    <xf numFmtId="0" fontId="7" fillId="0" borderId="0" xfId="0" applyFont="1" applyAlignment="1">
      <alignment horizontal="justify" vertical="center" wrapText="1"/>
    </xf>
    <xf numFmtId="0" fontId="31" fillId="0" borderId="38" xfId="0" applyFont="1" applyBorder="1" applyAlignment="1">
      <alignment horizontal="justify" vertical="center" wrapText="1"/>
    </xf>
    <xf numFmtId="0" fontId="51" fillId="10" borderId="22" xfId="0" applyFont="1" applyFill="1" applyBorder="1" applyAlignment="1">
      <alignment horizontal="justify" vertical="center" wrapText="1"/>
    </xf>
    <xf numFmtId="0" fontId="51" fillId="10" borderId="17" xfId="0" applyFont="1" applyFill="1" applyBorder="1" applyAlignment="1">
      <alignment horizontal="justify" vertical="center" wrapText="1"/>
    </xf>
    <xf numFmtId="0" fontId="51" fillId="10" borderId="63" xfId="0" applyFont="1" applyFill="1" applyBorder="1" applyAlignment="1">
      <alignment horizontal="justify" vertical="center" wrapText="1"/>
    </xf>
    <xf numFmtId="0" fontId="51" fillId="10" borderId="0" xfId="0" applyFont="1" applyFill="1" applyAlignment="1">
      <alignment horizontal="justify" vertical="center" wrapText="1"/>
    </xf>
    <xf numFmtId="0" fontId="51" fillId="10" borderId="36" xfId="0" applyFont="1" applyFill="1" applyBorder="1" applyAlignment="1">
      <alignment horizontal="justify" vertical="center" wrapText="1"/>
    </xf>
    <xf numFmtId="0" fontId="51" fillId="10" borderId="27" xfId="0" applyFont="1" applyFill="1" applyBorder="1" applyAlignment="1">
      <alignment horizontal="justify" vertical="center" wrapText="1"/>
    </xf>
    <xf numFmtId="164" fontId="5" fillId="0" borderId="15" xfId="0" applyNumberFormat="1" applyFont="1" applyBorder="1" applyAlignment="1">
      <alignment horizontal="center" vertical="center"/>
    </xf>
    <xf numFmtId="164" fontId="5" fillId="0" borderId="2" xfId="0" applyNumberFormat="1" applyFont="1" applyBorder="1" applyAlignment="1">
      <alignment horizontal="center" vertical="center"/>
    </xf>
    <xf numFmtId="164" fontId="5" fillId="0" borderId="13" xfId="0" applyNumberFormat="1" applyFont="1" applyBorder="1" applyAlignment="1">
      <alignment horizontal="center" vertical="center"/>
    </xf>
    <xf numFmtId="165" fontId="5" fillId="0" borderId="5" xfId="1" applyNumberFormat="1" applyFont="1" applyBorder="1" applyAlignment="1" applyProtection="1">
      <alignment horizontal="center" vertical="center"/>
    </xf>
    <xf numFmtId="164" fontId="5" fillId="0" borderId="5" xfId="0" applyNumberFormat="1" applyFont="1" applyBorder="1" applyAlignment="1">
      <alignment horizontal="center" vertical="center"/>
    </xf>
    <xf numFmtId="0" fontId="4" fillId="4" borderId="0" xfId="0" applyFont="1" applyFill="1" applyAlignment="1">
      <alignment horizontal="center" vertical="center"/>
    </xf>
    <xf numFmtId="0" fontId="4" fillId="7" borderId="0" xfId="0" applyFont="1" applyFill="1" applyAlignment="1">
      <alignment horizontal="center" vertical="center" wrapText="1"/>
    </xf>
    <xf numFmtId="0" fontId="14" fillId="8" borderId="63" xfId="0" applyFont="1" applyFill="1" applyBorder="1" applyAlignment="1" applyProtection="1">
      <alignment horizontal="center" vertical="center" wrapText="1"/>
      <protection hidden="1"/>
    </xf>
    <xf numFmtId="0" fontId="55" fillId="4" borderId="23" xfId="0" applyFont="1" applyFill="1" applyBorder="1" applyAlignment="1" applyProtection="1">
      <alignment horizontal="center" vertical="center"/>
      <protection hidden="1"/>
    </xf>
    <xf numFmtId="0" fontId="55" fillId="4" borderId="25" xfId="0" applyFont="1" applyFill="1" applyBorder="1" applyAlignment="1" applyProtection="1">
      <alignment horizontal="center" vertical="center" wrapText="1"/>
      <protection hidden="1"/>
    </xf>
    <xf numFmtId="9" fontId="14" fillId="0" borderId="65" xfId="3" applyFont="1" applyBorder="1" applyAlignment="1">
      <alignment horizontal="center" vertical="center"/>
    </xf>
    <xf numFmtId="9" fontId="14" fillId="0" borderId="62" xfId="3" applyFont="1" applyBorder="1" applyAlignment="1">
      <alignment horizontal="center" vertical="center"/>
    </xf>
    <xf numFmtId="9" fontId="14" fillId="8" borderId="63" xfId="3" applyFont="1" applyFill="1" applyBorder="1" applyAlignment="1" applyProtection="1">
      <alignment horizontal="center" vertical="center" wrapText="1"/>
      <protection hidden="1"/>
    </xf>
    <xf numFmtId="0" fontId="4" fillId="0" borderId="0" xfId="0" applyFont="1" applyAlignment="1" applyProtection="1">
      <alignment horizontal="right" vertical="center"/>
      <protection locked="0"/>
    </xf>
    <xf numFmtId="0" fontId="34" fillId="4" borderId="42" xfId="0" applyFont="1" applyFill="1" applyBorder="1" applyAlignment="1" applyProtection="1">
      <alignment vertical="center"/>
      <protection hidden="1"/>
    </xf>
    <xf numFmtId="0" fontId="4" fillId="0" borderId="45" xfId="0" applyFont="1" applyBorder="1" applyAlignment="1" applyProtection="1">
      <alignment horizontal="center" vertical="center"/>
      <protection hidden="1"/>
    </xf>
    <xf numFmtId="0" fontId="7" fillId="0" borderId="46" xfId="0" applyFont="1" applyBorder="1" applyAlignment="1">
      <alignment horizontal="left" vertical="center"/>
    </xf>
    <xf numFmtId="0" fontId="7" fillId="0" borderId="5" xfId="0" applyFont="1" applyBorder="1" applyAlignment="1" applyProtection="1">
      <alignment vertical="center"/>
      <protection hidden="1"/>
    </xf>
    <xf numFmtId="43" fontId="31" fillId="0" borderId="5" xfId="1" applyFont="1" applyBorder="1" applyAlignment="1" applyProtection="1">
      <alignment vertical="center"/>
      <protection hidden="1"/>
    </xf>
    <xf numFmtId="10" fontId="31" fillId="0" borderId="5" xfId="3" applyNumberFormat="1" applyFont="1" applyBorder="1" applyAlignment="1" applyProtection="1">
      <alignment vertical="center"/>
      <protection hidden="1"/>
    </xf>
    <xf numFmtId="43" fontId="31" fillId="5" borderId="5" xfId="0" applyNumberFormat="1" applyFont="1" applyFill="1" applyBorder="1" applyAlignment="1" applyProtection="1">
      <alignment vertical="center"/>
      <protection hidden="1"/>
    </xf>
    <xf numFmtId="0" fontId="4" fillId="0" borderId="5" xfId="0" applyFont="1" applyBorder="1" applyAlignment="1" applyProtection="1">
      <alignment horizontal="left" vertical="center" wrapText="1"/>
      <protection hidden="1"/>
    </xf>
    <xf numFmtId="0" fontId="4" fillId="0" borderId="29" xfId="0" applyFont="1" applyBorder="1" applyAlignment="1" applyProtection="1">
      <alignment horizontal="left" vertical="center" wrapText="1"/>
      <protection hidden="1"/>
    </xf>
    <xf numFmtId="0" fontId="5" fillId="0" borderId="46" xfId="0" applyFont="1" applyBorder="1" applyAlignment="1">
      <alignment horizontal="left" vertical="center"/>
    </xf>
    <xf numFmtId="43" fontId="4" fillId="0" borderId="5" xfId="1" applyFont="1" applyBorder="1" applyAlignment="1" applyProtection="1">
      <alignment vertical="center"/>
      <protection hidden="1"/>
    </xf>
    <xf numFmtId="10" fontId="4" fillId="0" borderId="5" xfId="3" applyNumberFormat="1" applyFont="1" applyBorder="1" applyAlignment="1" applyProtection="1">
      <alignment vertical="center"/>
      <protection hidden="1"/>
    </xf>
    <xf numFmtId="43" fontId="4" fillId="5" borderId="5" xfId="0" applyNumberFormat="1" applyFont="1" applyFill="1" applyBorder="1" applyAlignment="1" applyProtection="1">
      <alignment vertical="center"/>
      <protection hidden="1"/>
    </xf>
    <xf numFmtId="0" fontId="31" fillId="0" borderId="5" xfId="0" applyFont="1" applyBorder="1" applyAlignment="1" applyProtection="1">
      <alignment horizontal="left" vertical="center" wrapText="1"/>
      <protection hidden="1"/>
    </xf>
    <xf numFmtId="0" fontId="4" fillId="0" borderId="25" xfId="0" applyFont="1" applyBorder="1" applyAlignment="1">
      <alignment vertical="center"/>
    </xf>
    <xf numFmtId="0" fontId="4" fillId="0" borderId="30" xfId="0" applyFont="1" applyBorder="1" applyAlignment="1">
      <alignment vertical="center" wrapText="1"/>
    </xf>
    <xf numFmtId="43" fontId="4" fillId="0" borderId="30" xfId="1" applyFont="1" applyBorder="1" applyAlignment="1" applyProtection="1">
      <alignment vertical="center"/>
      <protection hidden="1"/>
    </xf>
    <xf numFmtId="10" fontId="4" fillId="0" borderId="30" xfId="3" applyNumberFormat="1" applyFont="1" applyBorder="1" applyAlignment="1" applyProtection="1">
      <alignment vertical="center"/>
      <protection hidden="1"/>
    </xf>
    <xf numFmtId="43" fontId="4" fillId="5" borderId="30" xfId="0" applyNumberFormat="1" applyFont="1" applyFill="1" applyBorder="1" applyAlignment="1" applyProtection="1">
      <alignment vertical="center"/>
      <protection hidden="1"/>
    </xf>
    <xf numFmtId="0" fontId="4" fillId="0" borderId="30" xfId="0" applyFont="1" applyBorder="1" applyAlignment="1" applyProtection="1">
      <alignment horizontal="left" vertical="center" wrapText="1"/>
      <protection hidden="1"/>
    </xf>
    <xf numFmtId="0" fontId="4" fillId="0" borderId="26" xfId="0" applyFont="1" applyBorder="1" applyAlignment="1" applyProtection="1">
      <alignment horizontal="left" vertical="center" wrapText="1"/>
      <protection hidden="1"/>
    </xf>
    <xf numFmtId="0" fontId="30" fillId="0" borderId="23" xfId="0" applyFont="1" applyBorder="1" applyAlignment="1">
      <alignment horizontal="left" vertical="center"/>
    </xf>
    <xf numFmtId="0" fontId="30" fillId="0" borderId="28" xfId="0" applyFont="1" applyBorder="1" applyAlignment="1">
      <alignment horizontal="left" vertical="center" wrapText="1"/>
    </xf>
    <xf numFmtId="43" fontId="31" fillId="0" borderId="28" xfId="1" applyFont="1" applyBorder="1" applyAlignment="1" applyProtection="1">
      <alignment vertical="center"/>
      <protection hidden="1"/>
    </xf>
    <xf numFmtId="10" fontId="31" fillId="0" borderId="28" xfId="3" applyNumberFormat="1" applyFont="1" applyBorder="1" applyAlignment="1" applyProtection="1">
      <alignment vertical="center"/>
      <protection hidden="1"/>
    </xf>
    <xf numFmtId="43" fontId="31" fillId="5" borderId="28" xfId="0" applyNumberFormat="1" applyFont="1" applyFill="1" applyBorder="1" applyAlignment="1" applyProtection="1">
      <alignment vertical="center"/>
      <protection hidden="1"/>
    </xf>
    <xf numFmtId="0" fontId="4" fillId="0" borderId="24" xfId="0" applyFont="1" applyBorder="1" applyAlignment="1" applyProtection="1">
      <alignment horizontal="left" vertical="center" wrapText="1"/>
      <protection hidden="1"/>
    </xf>
    <xf numFmtId="0" fontId="30" fillId="0" borderId="46" xfId="0" applyFont="1" applyBorder="1" applyAlignment="1">
      <alignment horizontal="left" vertical="center"/>
    </xf>
    <xf numFmtId="0" fontId="48" fillId="0" borderId="46" xfId="0" applyFont="1" applyBorder="1" applyAlignment="1">
      <alignment horizontal="left" vertical="center"/>
    </xf>
    <xf numFmtId="0" fontId="48" fillId="0" borderId="5" xfId="0" applyFont="1" applyBorder="1" applyAlignment="1">
      <alignment horizontal="left" vertical="center" wrapText="1"/>
    </xf>
    <xf numFmtId="0" fontId="48" fillId="0" borderId="25" xfId="0" applyFont="1" applyBorder="1" applyAlignment="1">
      <alignment horizontal="left" vertical="center"/>
    </xf>
    <xf numFmtId="0" fontId="48" fillId="0" borderId="30" xfId="0" applyFont="1" applyBorder="1" applyAlignment="1">
      <alignment horizontal="left" vertical="center" wrapText="1"/>
    </xf>
    <xf numFmtId="0" fontId="5" fillId="0" borderId="5" xfId="0" applyFont="1" applyBorder="1" applyAlignment="1">
      <alignment horizontal="left" vertical="center"/>
    </xf>
    <xf numFmtId="0" fontId="30" fillId="0" borderId="5" xfId="0" applyFont="1" applyBorder="1" applyAlignment="1">
      <alignment vertical="center" wrapText="1"/>
    </xf>
    <xf numFmtId="0" fontId="5" fillId="0" borderId="0" xfId="0" applyFont="1" applyAlignment="1" applyProtection="1">
      <alignment horizontal="left" vertical="center" wrapText="1"/>
      <protection hidden="1"/>
    </xf>
    <xf numFmtId="49" fontId="31" fillId="5" borderId="0" xfId="0" applyNumberFormat="1" applyFont="1" applyFill="1" applyAlignment="1" applyProtection="1">
      <alignment horizontal="left" vertical="center" wrapText="1"/>
      <protection hidden="1"/>
    </xf>
    <xf numFmtId="0" fontId="4" fillId="0" borderId="44" xfId="0" applyFont="1" applyBorder="1" applyAlignment="1">
      <alignment horizontal="left" vertical="center" wrapText="1"/>
    </xf>
    <xf numFmtId="0" fontId="4" fillId="0" borderId="45" xfId="0" applyFont="1" applyBorder="1" applyAlignment="1">
      <alignment horizontal="left" vertical="center" wrapText="1"/>
    </xf>
    <xf numFmtId="0" fontId="29" fillId="17" borderId="5" xfId="0" applyFont="1" applyFill="1" applyBorder="1" applyAlignment="1" applyProtection="1">
      <alignment horizontal="justify" vertical="center" wrapText="1"/>
      <protection hidden="1"/>
    </xf>
    <xf numFmtId="0" fontId="34" fillId="4" borderId="30" xfId="0" applyFont="1" applyFill="1" applyBorder="1" applyAlignment="1" applyProtection="1">
      <alignment horizontal="center" vertical="center" wrapText="1"/>
      <protection hidden="1"/>
    </xf>
    <xf numFmtId="0" fontId="14" fillId="0" borderId="0" xfId="0" applyFont="1" applyAlignment="1" applyProtection="1">
      <alignment horizontal="center" vertical="center"/>
      <protection hidden="1"/>
    </xf>
    <xf numFmtId="0" fontId="14" fillId="0" borderId="0" xfId="0" applyFont="1" applyAlignment="1">
      <alignment horizontal="center" vertical="center"/>
    </xf>
    <xf numFmtId="0" fontId="7" fillId="0" borderId="5" xfId="0" applyFont="1" applyBorder="1" applyAlignment="1" applyProtection="1">
      <alignment horizontal="center" vertical="center" wrapText="1"/>
      <protection hidden="1"/>
    </xf>
    <xf numFmtId="0" fontId="5" fillId="5" borderId="0" xfId="0" applyFont="1" applyFill="1" applyAlignment="1" applyProtection="1">
      <alignment horizontal="center" vertical="center"/>
      <protection hidden="1"/>
    </xf>
    <xf numFmtId="0" fontId="31" fillId="0" borderId="0" xfId="0" applyFont="1" applyAlignment="1" applyProtection="1">
      <alignment horizontal="center" vertical="center"/>
      <protection hidden="1"/>
    </xf>
    <xf numFmtId="0" fontId="53" fillId="4" borderId="48" xfId="0" applyFont="1" applyFill="1" applyBorder="1" applyAlignment="1" applyProtection="1">
      <alignment horizontal="center" vertical="center"/>
      <protection hidden="1"/>
    </xf>
    <xf numFmtId="0" fontId="53" fillId="4" borderId="47" xfId="0" applyFont="1" applyFill="1" applyBorder="1" applyAlignment="1" applyProtection="1">
      <alignment horizontal="center" vertical="center"/>
      <protection hidden="1"/>
    </xf>
    <xf numFmtId="0" fontId="51" fillId="10" borderId="20" xfId="0" applyFont="1" applyFill="1" applyBorder="1" applyAlignment="1">
      <alignment horizontal="center" vertical="center" wrapText="1"/>
    </xf>
    <xf numFmtId="0" fontId="52" fillId="10" borderId="67" xfId="0" applyFont="1" applyFill="1" applyBorder="1" applyAlignment="1">
      <alignment horizontal="justify" vertical="center" wrapText="1"/>
    </xf>
    <xf numFmtId="0" fontId="52" fillId="10" borderId="22" xfId="0" applyFont="1" applyFill="1" applyBorder="1" applyAlignment="1">
      <alignment horizontal="justify" vertical="center" wrapText="1"/>
    </xf>
    <xf numFmtId="0" fontId="31"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5" xfId="0" applyFont="1" applyBorder="1" applyAlignment="1" applyProtection="1">
      <alignment horizontal="center" vertical="center"/>
      <protection hidden="1"/>
    </xf>
    <xf numFmtId="0" fontId="22" fillId="0" borderId="28" xfId="6" applyFont="1" applyBorder="1" applyAlignment="1">
      <alignment horizontal="center" vertical="center" wrapText="1"/>
    </xf>
    <xf numFmtId="0" fontId="22" fillId="0" borderId="5" xfId="6" applyFont="1" applyBorder="1" applyAlignment="1">
      <alignment horizontal="center" vertical="center" wrapText="1"/>
    </xf>
    <xf numFmtId="0" fontId="22" fillId="0" borderId="30" xfId="6" applyFont="1" applyBorder="1" applyAlignment="1">
      <alignment horizontal="center" vertical="center" wrapText="1"/>
    </xf>
    <xf numFmtId="0" fontId="31" fillId="0" borderId="0" xfId="0" applyFont="1" applyAlignment="1" applyProtection="1">
      <alignment horizontal="left" vertical="center"/>
      <protection hidden="1"/>
    </xf>
    <xf numFmtId="0" fontId="31" fillId="0" borderId="0" xfId="0" applyFont="1" applyAlignment="1" applyProtection="1">
      <alignment horizontal="left" vertical="center" wrapText="1"/>
      <protection hidden="1"/>
    </xf>
    <xf numFmtId="0" fontId="34" fillId="4" borderId="9" xfId="10" applyFont="1" applyFill="1" applyBorder="1" applyAlignment="1">
      <alignment horizontal="center" vertical="center" wrapText="1"/>
    </xf>
    <xf numFmtId="0" fontId="4" fillId="0" borderId="0" xfId="0" applyFont="1" applyAlignment="1">
      <alignment horizontal="left" vertical="center" wrapText="1"/>
    </xf>
    <xf numFmtId="0" fontId="39" fillId="5" borderId="0" xfId="0" applyFont="1" applyFill="1" applyAlignment="1" applyProtection="1">
      <alignment vertical="center"/>
      <protection hidden="1"/>
    </xf>
    <xf numFmtId="0" fontId="4" fillId="5" borderId="0" xfId="0" applyFont="1" applyFill="1" applyAlignment="1" applyProtection="1">
      <alignment vertical="center"/>
      <protection hidden="1"/>
    </xf>
    <xf numFmtId="0" fontId="31" fillId="5" borderId="0" xfId="0" applyFont="1" applyFill="1" applyAlignment="1" applyProtection="1">
      <alignment vertical="center"/>
      <protection hidden="1"/>
    </xf>
    <xf numFmtId="0" fontId="4" fillId="5" borderId="0" xfId="0" applyFont="1" applyFill="1" applyAlignment="1" applyProtection="1">
      <alignment horizontal="left" vertical="center"/>
      <protection locked="0"/>
    </xf>
    <xf numFmtId="0" fontId="27" fillId="5" borderId="0" xfId="0" applyFont="1" applyFill="1" applyAlignment="1" applyProtection="1">
      <alignment horizontal="center" vertical="center"/>
      <protection hidden="1"/>
    </xf>
    <xf numFmtId="0" fontId="31" fillId="5" borderId="8" xfId="0" applyFont="1" applyFill="1" applyBorder="1" applyAlignment="1" applyProtection="1">
      <alignment horizontal="center" vertical="center"/>
      <protection hidden="1"/>
    </xf>
    <xf numFmtId="0" fontId="7" fillId="0" borderId="0" xfId="0" applyFont="1" applyAlignment="1">
      <alignment horizontal="left" vertical="center" wrapText="1"/>
    </xf>
    <xf numFmtId="0" fontId="7" fillId="0" borderId="23" xfId="0" applyFont="1" applyBorder="1" applyAlignment="1" applyProtection="1">
      <alignment vertical="center"/>
      <protection hidden="1"/>
    </xf>
    <xf numFmtId="43" fontId="7" fillId="0" borderId="28" xfId="1" applyFont="1" applyBorder="1" applyAlignment="1" applyProtection="1">
      <alignment vertical="center"/>
      <protection hidden="1"/>
    </xf>
    <xf numFmtId="0" fontId="7" fillId="0" borderId="46" xfId="0" applyFont="1" applyBorder="1" applyAlignment="1" applyProtection="1">
      <alignment vertical="center"/>
      <protection hidden="1"/>
    </xf>
    <xf numFmtId="43" fontId="7" fillId="0" borderId="5" xfId="1" applyFont="1" applyBorder="1" applyAlignment="1" applyProtection="1">
      <alignment vertical="center"/>
      <protection hidden="1"/>
    </xf>
    <xf numFmtId="0" fontId="5" fillId="0" borderId="46" xfId="0" applyFont="1" applyBorder="1" applyAlignment="1" applyProtection="1">
      <alignment vertical="center"/>
      <protection hidden="1"/>
    </xf>
    <xf numFmtId="43" fontId="5" fillId="0" borderId="5" xfId="1" applyFont="1" applyBorder="1" applyAlignment="1" applyProtection="1">
      <alignment vertical="center"/>
      <protection hidden="1"/>
    </xf>
    <xf numFmtId="0" fontId="5" fillId="0" borderId="25" xfId="0" applyFont="1" applyBorder="1" applyAlignment="1" applyProtection="1">
      <alignment vertical="center"/>
      <protection hidden="1"/>
    </xf>
    <xf numFmtId="43" fontId="7" fillId="0" borderId="30" xfId="1" applyFont="1" applyBorder="1" applyAlignment="1" applyProtection="1">
      <alignment vertical="center"/>
      <protection hidden="1"/>
    </xf>
    <xf numFmtId="0" fontId="5" fillId="0" borderId="30" xfId="0" applyFont="1" applyBorder="1" applyAlignment="1" applyProtection="1">
      <alignment horizontal="left" vertical="center" wrapText="1"/>
      <protection hidden="1"/>
    </xf>
    <xf numFmtId="43" fontId="5" fillId="0" borderId="30" xfId="1" applyFont="1" applyBorder="1" applyAlignment="1" applyProtection="1">
      <alignment vertical="center"/>
      <protection hidden="1"/>
    </xf>
    <xf numFmtId="0" fontId="4" fillId="0" borderId="0" xfId="0" applyFont="1" applyAlignment="1" applyProtection="1">
      <alignment vertical="center" wrapText="1"/>
      <protection hidden="1"/>
    </xf>
    <xf numFmtId="0" fontId="30" fillId="0" borderId="28" xfId="0" applyFont="1" applyBorder="1" applyAlignment="1">
      <alignment vertical="center" wrapText="1"/>
    </xf>
    <xf numFmtId="0" fontId="30" fillId="0" borderId="30" xfId="0" applyFont="1" applyBorder="1" applyAlignment="1">
      <alignment vertical="center" wrapText="1"/>
    </xf>
    <xf numFmtId="0" fontId="51" fillId="10" borderId="22" xfId="0" applyFont="1" applyFill="1" applyBorder="1" applyAlignment="1">
      <alignment horizontal="left" vertical="center" wrapText="1"/>
    </xf>
    <xf numFmtId="0" fontId="14" fillId="0" borderId="0" xfId="0" applyFont="1" applyAlignment="1" applyProtection="1">
      <alignment vertical="center"/>
      <protection hidden="1"/>
    </xf>
    <xf numFmtId="0" fontId="4" fillId="5" borderId="0" xfId="0" applyFont="1" applyFill="1" applyAlignment="1">
      <alignment vertical="center"/>
    </xf>
    <xf numFmtId="2" fontId="4" fillId="5" borderId="0" xfId="5" applyNumberFormat="1" applyFont="1" applyFill="1" applyBorder="1" applyAlignment="1" applyProtection="1">
      <alignment vertical="center"/>
      <protection hidden="1"/>
    </xf>
    <xf numFmtId="0" fontId="31" fillId="0" borderId="0" xfId="0" applyFont="1" applyAlignment="1">
      <alignment horizontal="justify" vertical="center"/>
    </xf>
    <xf numFmtId="0" fontId="4" fillId="5" borderId="0" xfId="0" applyFont="1" applyFill="1" applyAlignment="1" applyProtection="1">
      <alignment vertical="center" wrapText="1"/>
      <protection hidden="1"/>
    </xf>
    <xf numFmtId="0" fontId="31" fillId="5" borderId="0" xfId="0" applyFont="1" applyFill="1" applyAlignment="1" applyProtection="1">
      <alignment horizontal="center" vertical="center"/>
      <protection hidden="1"/>
    </xf>
    <xf numFmtId="0" fontId="11" fillId="5" borderId="0" xfId="0" applyFont="1" applyFill="1" applyAlignment="1" applyProtection="1">
      <alignment vertical="center"/>
      <protection hidden="1"/>
    </xf>
    <xf numFmtId="0" fontId="4" fillId="0" borderId="0" xfId="0" applyFont="1" applyAlignment="1" applyProtection="1">
      <alignment horizontal="left" vertical="center"/>
      <protection locked="0"/>
    </xf>
    <xf numFmtId="0" fontId="21" fillId="0" borderId="43" xfId="6" applyFont="1" applyBorder="1" applyAlignment="1">
      <alignment vertical="center" textRotation="255" wrapText="1"/>
    </xf>
    <xf numFmtId="43" fontId="4" fillId="0" borderId="0" xfId="1" applyFont="1" applyAlignment="1">
      <alignment vertical="center"/>
    </xf>
    <xf numFmtId="0" fontId="40" fillId="0" borderId="0" xfId="6" applyFont="1" applyAlignment="1">
      <alignment vertical="center" textRotation="255" wrapText="1"/>
    </xf>
    <xf numFmtId="0" fontId="4" fillId="17" borderId="5" xfId="0" applyFont="1" applyFill="1" applyBorder="1" applyAlignment="1">
      <alignment horizontal="left" vertical="center" wrapText="1"/>
    </xf>
    <xf numFmtId="0" fontId="4" fillId="17" borderId="30" xfId="0" applyFont="1" applyFill="1" applyBorder="1" applyAlignment="1">
      <alignment horizontal="left" vertical="center" wrapText="1"/>
    </xf>
    <xf numFmtId="10" fontId="9" fillId="0" borderId="5" xfId="0" applyNumberFormat="1" applyFont="1" applyBorder="1" applyAlignment="1">
      <alignment horizontal="center" vertical="center"/>
    </xf>
    <xf numFmtId="10" fontId="9" fillId="0" borderId="14" xfId="0" applyNumberFormat="1" applyFont="1" applyBorder="1" applyAlignment="1">
      <alignment horizontal="center" vertical="center"/>
    </xf>
    <xf numFmtId="0" fontId="31" fillId="0" borderId="0" xfId="0" applyFont="1" applyAlignment="1">
      <alignment vertical="center"/>
    </xf>
    <xf numFmtId="0" fontId="57" fillId="0" borderId="51" xfId="0" applyFont="1" applyBorder="1" applyAlignment="1" applyProtection="1">
      <alignment horizontal="center" vertical="center" wrapText="1"/>
      <protection hidden="1"/>
    </xf>
    <xf numFmtId="0" fontId="57" fillId="0" borderId="41" xfId="0" applyFont="1" applyBorder="1" applyAlignment="1" applyProtection="1">
      <alignment horizontal="center" vertical="center"/>
      <protection hidden="1"/>
    </xf>
    <xf numFmtId="0" fontId="57" fillId="0" borderId="52" xfId="0" applyFont="1" applyBorder="1" applyAlignment="1" applyProtection="1">
      <alignment horizontal="center" vertical="center"/>
      <protection hidden="1"/>
    </xf>
    <xf numFmtId="0" fontId="57" fillId="0" borderId="53" xfId="0" applyFont="1" applyBorder="1" applyAlignment="1" applyProtection="1">
      <alignment horizontal="center" vertical="center"/>
      <protection hidden="1"/>
    </xf>
    <xf numFmtId="0" fontId="57" fillId="0" borderId="6" xfId="0" applyFont="1" applyBorder="1" applyAlignment="1" applyProtection="1">
      <alignment horizontal="center" vertical="center"/>
      <protection hidden="1"/>
    </xf>
    <xf numFmtId="0" fontId="57" fillId="0" borderId="54" xfId="0" applyFont="1" applyBorder="1" applyAlignment="1" applyProtection="1">
      <alignment horizontal="center" vertical="center"/>
      <protection hidden="1"/>
    </xf>
    <xf numFmtId="0" fontId="5" fillId="0" borderId="5" xfId="0" applyFont="1" applyBorder="1" applyAlignment="1" applyProtection="1">
      <alignment horizontal="left" vertical="center" wrapText="1"/>
      <protection hidden="1"/>
    </xf>
    <xf numFmtId="0" fontId="5" fillId="0" borderId="10" xfId="0" applyFont="1" applyBorder="1" applyAlignment="1" applyProtection="1">
      <alignment horizontal="justify" vertical="center" wrapText="1"/>
      <protection hidden="1"/>
    </xf>
    <xf numFmtId="0" fontId="5" fillId="0" borderId="4" xfId="0" applyFont="1" applyBorder="1" applyAlignment="1" applyProtection="1">
      <alignment horizontal="justify" vertical="center" wrapText="1"/>
      <protection hidden="1"/>
    </xf>
    <xf numFmtId="0" fontId="5" fillId="0" borderId="11" xfId="0" applyFont="1" applyBorder="1" applyAlignment="1" applyProtection="1">
      <alignment horizontal="justify" vertical="center" wrapText="1"/>
      <protection hidden="1"/>
    </xf>
    <xf numFmtId="0" fontId="5" fillId="0" borderId="14" xfId="0" applyFont="1" applyBorder="1" applyAlignment="1" applyProtection="1">
      <alignment horizontal="justify" vertical="center" wrapText="1"/>
      <protection hidden="1"/>
    </xf>
    <xf numFmtId="0" fontId="5" fillId="0" borderId="8" xfId="0" applyFont="1" applyBorder="1" applyAlignment="1" applyProtection="1">
      <alignment horizontal="justify" vertical="center" wrapText="1"/>
      <protection hidden="1"/>
    </xf>
    <xf numFmtId="0" fontId="5" fillId="0" borderId="15" xfId="0" applyFont="1" applyBorder="1" applyAlignment="1" applyProtection="1">
      <alignment horizontal="justify" vertical="center" wrapText="1"/>
      <protection hidden="1"/>
    </xf>
    <xf numFmtId="0" fontId="34" fillId="4" borderId="24" xfId="0" applyFont="1" applyFill="1" applyBorder="1" applyAlignment="1" applyProtection="1">
      <alignment horizontal="center" vertical="center" wrapText="1"/>
      <protection hidden="1"/>
    </xf>
    <xf numFmtId="0" fontId="34" fillId="4" borderId="26" xfId="0" applyFont="1" applyFill="1" applyBorder="1" applyAlignment="1" applyProtection="1">
      <alignment horizontal="center" vertical="center" wrapText="1"/>
      <protection hidden="1"/>
    </xf>
    <xf numFmtId="0" fontId="34" fillId="4" borderId="28" xfId="0" applyFont="1" applyFill="1" applyBorder="1" applyAlignment="1" applyProtection="1">
      <alignment horizontal="center" vertical="center" wrapText="1"/>
      <protection hidden="1"/>
    </xf>
    <xf numFmtId="0" fontId="34" fillId="4" borderId="30" xfId="0" applyFont="1" applyFill="1" applyBorder="1" applyAlignment="1" applyProtection="1">
      <alignment horizontal="center" vertical="center" wrapText="1"/>
      <protection hidden="1"/>
    </xf>
    <xf numFmtId="0" fontId="34" fillId="4" borderId="40" xfId="0" applyFont="1" applyFill="1" applyBorder="1" applyAlignment="1" applyProtection="1">
      <alignment horizontal="center" vertical="center" wrapText="1"/>
      <protection hidden="1"/>
    </xf>
    <xf numFmtId="0" fontId="34" fillId="4" borderId="42" xfId="0" applyFont="1" applyFill="1" applyBorder="1" applyAlignment="1" applyProtection="1">
      <alignment horizontal="center" vertical="center" wrapText="1"/>
      <protection hidden="1"/>
    </xf>
    <xf numFmtId="0" fontId="34" fillId="4" borderId="44" xfId="0" applyFont="1" applyFill="1" applyBorder="1" applyAlignment="1" applyProtection="1">
      <alignment horizontal="center" vertical="center" wrapText="1"/>
      <protection hidden="1"/>
    </xf>
    <xf numFmtId="0" fontId="34" fillId="4" borderId="45" xfId="0" applyFont="1" applyFill="1" applyBorder="1" applyAlignment="1" applyProtection="1">
      <alignment horizontal="center" vertical="center" wrapText="1"/>
      <protection hidden="1"/>
    </xf>
    <xf numFmtId="0" fontId="34" fillId="4" borderId="41" xfId="0" applyFont="1" applyFill="1" applyBorder="1" applyAlignment="1" applyProtection="1">
      <alignment horizontal="center" vertical="center"/>
      <protection hidden="1"/>
    </xf>
    <xf numFmtId="0" fontId="34" fillId="4" borderId="6" xfId="0" applyFont="1" applyFill="1" applyBorder="1" applyAlignment="1" applyProtection="1">
      <alignment horizontal="center" vertical="center"/>
      <protection hidden="1"/>
    </xf>
    <xf numFmtId="0" fontId="34" fillId="4" borderId="40" xfId="0" applyFont="1" applyFill="1" applyBorder="1" applyAlignment="1" applyProtection="1">
      <alignment horizontal="center" vertical="center"/>
      <protection hidden="1"/>
    </xf>
    <xf numFmtId="0" fontId="34" fillId="4" borderId="44" xfId="0" applyFont="1" applyFill="1" applyBorder="1" applyAlignment="1" applyProtection="1">
      <alignment horizontal="center" vertical="center"/>
      <protection hidden="1"/>
    </xf>
    <xf numFmtId="0" fontId="34" fillId="4" borderId="23" xfId="0" applyFont="1" applyFill="1" applyBorder="1" applyAlignment="1" applyProtection="1">
      <alignment horizontal="center" vertical="center" wrapText="1"/>
      <protection hidden="1"/>
    </xf>
    <xf numFmtId="0" fontId="34" fillId="4" borderId="25" xfId="0" applyFont="1" applyFill="1" applyBorder="1" applyAlignment="1" applyProtection="1">
      <alignment horizontal="center" vertical="center" wrapText="1"/>
      <protection hidden="1"/>
    </xf>
    <xf numFmtId="10" fontId="31" fillId="0" borderId="5" xfId="3" applyNumberFormat="1" applyFont="1" applyBorder="1" applyAlignment="1" applyProtection="1">
      <alignment horizontal="center" vertical="center"/>
      <protection hidden="1"/>
    </xf>
    <xf numFmtId="10" fontId="4" fillId="0" borderId="5" xfId="3" applyNumberFormat="1" applyFont="1" applyBorder="1" applyAlignment="1" applyProtection="1">
      <alignment horizontal="center" vertical="center"/>
      <protection hidden="1"/>
    </xf>
    <xf numFmtId="10" fontId="31" fillId="0" borderId="61" xfId="3" applyNumberFormat="1" applyFont="1" applyBorder="1" applyAlignment="1" applyProtection="1">
      <alignment horizontal="center" vertical="center"/>
      <protection hidden="1"/>
    </xf>
    <xf numFmtId="10" fontId="31" fillId="0" borderId="62" xfId="3" applyNumberFormat="1" applyFont="1" applyBorder="1" applyAlignment="1" applyProtection="1">
      <alignment horizontal="center" vertical="center"/>
      <protection hidden="1"/>
    </xf>
    <xf numFmtId="10" fontId="31" fillId="0" borderId="50" xfId="3" applyNumberFormat="1" applyFont="1" applyBorder="1" applyAlignment="1" applyProtection="1">
      <alignment horizontal="center" vertical="center"/>
      <protection hidden="1"/>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Alignment="1" applyProtection="1">
      <alignment horizontal="left" vertical="center" wrapText="1"/>
      <protection hidden="1"/>
    </xf>
    <xf numFmtId="0" fontId="14" fillId="0" borderId="0" xfId="0" applyFont="1" applyAlignment="1" applyProtection="1">
      <alignment horizontal="center" vertical="center"/>
      <protection hidden="1"/>
    </xf>
    <xf numFmtId="0" fontId="7" fillId="0" borderId="33" xfId="0" applyFont="1" applyBorder="1" applyAlignment="1" applyProtection="1">
      <alignment horizontal="center" vertical="center"/>
      <protection hidden="1"/>
    </xf>
    <xf numFmtId="0" fontId="7" fillId="0" borderId="35" xfId="0" applyFont="1" applyBorder="1" applyAlignment="1" applyProtection="1">
      <alignment horizontal="center" vertical="center"/>
      <protection hidden="1"/>
    </xf>
    <xf numFmtId="0" fontId="7" fillId="0" borderId="28" xfId="0" applyFont="1" applyBorder="1" applyAlignment="1" applyProtection="1">
      <alignment horizontal="left" vertical="center" wrapText="1"/>
      <protection hidden="1"/>
    </xf>
    <xf numFmtId="0" fontId="7" fillId="0" borderId="24" xfId="0" applyFont="1" applyBorder="1" applyAlignment="1" applyProtection="1">
      <alignment horizontal="left" vertical="center" wrapText="1"/>
      <protection hidden="1"/>
    </xf>
    <xf numFmtId="0" fontId="7" fillId="0" borderId="30" xfId="0" applyFont="1" applyBorder="1" applyAlignment="1" applyProtection="1">
      <alignment horizontal="left" vertical="center" wrapText="1"/>
      <protection hidden="1"/>
    </xf>
    <xf numFmtId="0" fontId="7" fillId="0" borderId="26" xfId="0" applyFont="1" applyBorder="1" applyAlignment="1" applyProtection="1">
      <alignment horizontal="left" vertical="center" wrapText="1"/>
      <protection hidden="1"/>
    </xf>
    <xf numFmtId="0" fontId="4" fillId="0" borderId="40" xfId="0" applyFont="1" applyBorder="1" applyAlignment="1">
      <alignment horizontal="center" vertical="center"/>
    </xf>
    <xf numFmtId="0" fontId="4" fillId="0" borderId="43" xfId="0" applyFont="1" applyBorder="1" applyAlignment="1">
      <alignment horizontal="center" vertical="center"/>
    </xf>
    <xf numFmtId="0" fontId="4" fillId="0" borderId="64" xfId="0" applyFont="1" applyBorder="1" applyAlignment="1" applyProtection="1">
      <alignment horizontal="center" vertical="center"/>
      <protection hidden="1"/>
    </xf>
    <xf numFmtId="0" fontId="4" fillId="0" borderId="65" xfId="0" applyFont="1" applyBorder="1" applyAlignment="1" applyProtection="1">
      <alignment horizontal="center" vertical="center"/>
      <protection hidden="1"/>
    </xf>
    <xf numFmtId="0" fontId="4" fillId="0" borderId="66" xfId="0" applyFont="1" applyBorder="1" applyAlignment="1" applyProtection="1">
      <alignment horizontal="center" vertical="center"/>
      <protection hidden="1"/>
    </xf>
    <xf numFmtId="0" fontId="5" fillId="0" borderId="5" xfId="0" applyFont="1" applyBorder="1" applyAlignment="1" applyProtection="1">
      <alignment horizontal="justify" vertical="center" wrapText="1"/>
      <protection hidden="1"/>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3" xfId="0" applyFont="1" applyBorder="1" applyAlignment="1">
      <alignment horizontal="center" vertical="center"/>
    </xf>
    <xf numFmtId="0" fontId="4" fillId="0" borderId="3" xfId="0" applyFont="1" applyBorder="1" applyAlignment="1" applyProtection="1">
      <alignment horizontal="center" vertical="center"/>
      <protection locked="0"/>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4" fillId="0" borderId="41" xfId="0" applyFont="1" applyBorder="1" applyAlignment="1">
      <alignment horizontal="center" vertical="center"/>
    </xf>
    <xf numFmtId="0" fontId="4" fillId="0" borderId="8" xfId="0" applyFont="1" applyBorder="1" applyAlignment="1" applyProtection="1">
      <alignment horizontal="center" vertical="center"/>
      <protection locked="0"/>
    </xf>
    <xf numFmtId="0" fontId="34" fillId="4" borderId="51" xfId="0" applyFont="1" applyFill="1" applyBorder="1" applyAlignment="1" applyProtection="1">
      <alignment horizontal="center" vertical="center" wrapText="1"/>
      <protection hidden="1"/>
    </xf>
    <xf numFmtId="0" fontId="34" fillId="4" borderId="41" xfId="0" applyFont="1" applyFill="1" applyBorder="1" applyAlignment="1" applyProtection="1">
      <alignment horizontal="center" vertical="center" wrapText="1"/>
      <protection hidden="1"/>
    </xf>
    <xf numFmtId="0" fontId="34" fillId="4" borderId="52" xfId="0" applyFont="1" applyFill="1" applyBorder="1" applyAlignment="1" applyProtection="1">
      <alignment horizontal="center" vertical="center" wrapText="1"/>
      <protection hidden="1"/>
    </xf>
    <xf numFmtId="0" fontId="34" fillId="4" borderId="53" xfId="0" applyFont="1" applyFill="1" applyBorder="1" applyAlignment="1" applyProtection="1">
      <alignment horizontal="center" vertical="center" wrapText="1"/>
      <protection hidden="1"/>
    </xf>
    <xf numFmtId="0" fontId="34" fillId="4" borderId="6" xfId="0" applyFont="1" applyFill="1" applyBorder="1" applyAlignment="1" applyProtection="1">
      <alignment horizontal="center" vertical="center" wrapText="1"/>
      <protection hidden="1"/>
    </xf>
    <xf numFmtId="0" fontId="34" fillId="4" borderId="54" xfId="0" applyFont="1" applyFill="1" applyBorder="1" applyAlignment="1" applyProtection="1">
      <alignment horizontal="center" vertical="center" wrapText="1"/>
      <protection hidden="1"/>
    </xf>
    <xf numFmtId="0" fontId="14" fillId="0" borderId="60" xfId="0" applyFont="1" applyBorder="1" applyAlignment="1">
      <alignment horizontal="left" vertical="center" wrapText="1"/>
    </xf>
    <xf numFmtId="0" fontId="14" fillId="0" borderId="72" xfId="0" applyFont="1" applyBorder="1" applyAlignment="1">
      <alignment horizontal="left" vertical="center" wrapText="1"/>
    </xf>
    <xf numFmtId="0" fontId="14" fillId="5" borderId="5" xfId="0" applyFont="1" applyFill="1" applyBorder="1" applyAlignment="1" applyProtection="1">
      <alignment horizontal="left" vertical="center" wrapText="1"/>
      <protection hidden="1"/>
    </xf>
    <xf numFmtId="0" fontId="14" fillId="5" borderId="5" xfId="0" applyFont="1" applyFill="1" applyBorder="1" applyAlignment="1" applyProtection="1">
      <alignment horizontal="left" vertical="center"/>
      <protection hidden="1"/>
    </xf>
    <xf numFmtId="0" fontId="58" fillId="0" borderId="5" xfId="0" applyFont="1" applyBorder="1" applyAlignment="1" applyProtection="1">
      <alignment horizontal="center" vertical="center" wrapText="1"/>
      <protection hidden="1"/>
    </xf>
    <xf numFmtId="0" fontId="14" fillId="17" borderId="23" xfId="0" applyFont="1" applyFill="1" applyBorder="1" applyAlignment="1" applyProtection="1">
      <alignment horizontal="center" vertical="center"/>
      <protection hidden="1"/>
    </xf>
    <xf numFmtId="0" fontId="14" fillId="17" borderId="46" xfId="0" applyFont="1" applyFill="1" applyBorder="1" applyAlignment="1" applyProtection="1">
      <alignment horizontal="center" vertical="center"/>
      <protection hidden="1"/>
    </xf>
    <xf numFmtId="0" fontId="14" fillId="17" borderId="25" xfId="0" applyFont="1" applyFill="1" applyBorder="1" applyAlignment="1" applyProtection="1">
      <alignment horizontal="center" vertical="center"/>
      <protection hidden="1"/>
    </xf>
    <xf numFmtId="9" fontId="14" fillId="2" borderId="28" xfId="0" applyNumberFormat="1" applyFont="1" applyFill="1" applyBorder="1" applyAlignment="1" applyProtection="1">
      <alignment horizontal="center" vertical="center"/>
      <protection hidden="1"/>
    </xf>
    <xf numFmtId="9" fontId="14" fillId="2" borderId="5" xfId="0" applyNumberFormat="1" applyFont="1" applyFill="1" applyBorder="1" applyAlignment="1" applyProtection="1">
      <alignment horizontal="center" vertical="center"/>
      <protection hidden="1"/>
    </xf>
    <xf numFmtId="9" fontId="14" fillId="2" borderId="30" xfId="0" applyNumberFormat="1" applyFont="1" applyFill="1" applyBorder="1" applyAlignment="1" applyProtection="1">
      <alignment horizontal="center" vertical="center"/>
      <protection hidden="1"/>
    </xf>
    <xf numFmtId="0" fontId="17" fillId="0" borderId="0" xfId="0" applyFont="1" applyAlignment="1" applyProtection="1">
      <alignment horizontal="center" vertical="center"/>
      <protection hidden="1"/>
    </xf>
    <xf numFmtId="0" fontId="4" fillId="0" borderId="38" xfId="0" applyFont="1" applyBorder="1" applyAlignment="1" applyProtection="1">
      <alignment horizontal="left" vertical="center" wrapText="1"/>
      <protection hidden="1"/>
    </xf>
    <xf numFmtId="0" fontId="4" fillId="0" borderId="7" xfId="0" applyFont="1" applyBorder="1" applyAlignment="1" applyProtection="1">
      <alignment horizontal="left" vertical="center" wrapText="1"/>
      <protection hidden="1"/>
    </xf>
    <xf numFmtId="0" fontId="4" fillId="0" borderId="56" xfId="0" applyFont="1" applyBorder="1" applyAlignment="1" applyProtection="1">
      <alignment horizontal="left" vertical="center" wrapText="1"/>
      <protection hidden="1"/>
    </xf>
    <xf numFmtId="44" fontId="31" fillId="0" borderId="47" xfId="2" applyFont="1" applyBorder="1" applyAlignment="1" applyProtection="1">
      <alignment horizontal="center" vertical="center"/>
      <protection hidden="1"/>
    </xf>
    <xf numFmtId="44" fontId="31" fillId="0" borderId="55" xfId="2" applyFont="1" applyBorder="1" applyAlignment="1" applyProtection="1">
      <alignment horizontal="center" vertical="center"/>
      <protection hidden="1"/>
    </xf>
    <xf numFmtId="49" fontId="5" fillId="5" borderId="0" xfId="0" applyNumberFormat="1" applyFont="1" applyFill="1" applyAlignment="1" applyProtection="1">
      <alignment horizontal="justify" vertical="center" wrapText="1"/>
      <protection locked="0" hidden="1"/>
    </xf>
    <xf numFmtId="0" fontId="4" fillId="0" borderId="3" xfId="0" applyFont="1" applyBorder="1" applyAlignment="1" applyProtection="1">
      <alignment horizontal="center" vertical="center"/>
      <protection hidden="1"/>
    </xf>
    <xf numFmtId="0" fontId="9" fillId="0" borderId="0" xfId="0" applyFont="1" applyAlignment="1" applyProtection="1">
      <alignment horizontal="center" vertical="center"/>
      <protection hidden="1"/>
    </xf>
    <xf numFmtId="0" fontId="4" fillId="0" borderId="3" xfId="0" applyFont="1" applyBorder="1" applyAlignment="1" applyProtection="1">
      <alignment horizontal="left" vertical="center"/>
      <protection locked="0"/>
    </xf>
    <xf numFmtId="0" fontId="4" fillId="0" borderId="10"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0" fontId="14" fillId="17" borderId="36" xfId="0" applyFont="1" applyFill="1" applyBorder="1" applyAlignment="1" applyProtection="1">
      <alignment horizontal="center" vertical="center"/>
      <protection hidden="1"/>
    </xf>
    <xf numFmtId="0" fontId="14" fillId="17" borderId="37" xfId="0" applyFont="1" applyFill="1" applyBorder="1" applyAlignment="1" applyProtection="1">
      <alignment horizontal="center" vertical="center"/>
      <protection hidden="1"/>
    </xf>
    <xf numFmtId="0" fontId="14" fillId="17" borderId="27" xfId="0" applyFont="1" applyFill="1" applyBorder="1" applyAlignment="1" applyProtection="1">
      <alignment horizontal="center" vertical="center"/>
      <protection hidden="1"/>
    </xf>
    <xf numFmtId="9" fontId="14" fillId="2" borderId="36" xfId="0" applyNumberFormat="1" applyFont="1" applyFill="1" applyBorder="1" applyAlignment="1" applyProtection="1">
      <alignment horizontal="center" vertical="center"/>
      <protection hidden="1"/>
    </xf>
    <xf numFmtId="9" fontId="14" fillId="2" borderId="37" xfId="0" applyNumberFormat="1" applyFont="1" applyFill="1" applyBorder="1" applyAlignment="1" applyProtection="1">
      <alignment horizontal="center" vertical="center"/>
      <protection hidden="1"/>
    </xf>
    <xf numFmtId="9" fontId="14" fillId="2" borderId="27" xfId="0" applyNumberFormat="1" applyFont="1" applyFill="1" applyBorder="1" applyAlignment="1" applyProtection="1">
      <alignment horizontal="center" vertical="center"/>
      <protection hidden="1"/>
    </xf>
    <xf numFmtId="0" fontId="11" fillId="5" borderId="0" xfId="0" applyFont="1" applyFill="1" applyAlignment="1" applyProtection="1">
      <alignment horizontal="left" vertical="center"/>
      <protection hidden="1"/>
    </xf>
    <xf numFmtId="0" fontId="11" fillId="5" borderId="0" xfId="0" applyFont="1" applyFill="1" applyAlignment="1" applyProtection="1">
      <alignment horizontal="justify" vertical="center" wrapText="1"/>
      <protection hidden="1"/>
    </xf>
    <xf numFmtId="0" fontId="14" fillId="0" borderId="0" xfId="0" applyFont="1" applyAlignment="1">
      <alignment horizontal="center" vertical="center"/>
    </xf>
    <xf numFmtId="0" fontId="37" fillId="4" borderId="12" xfId="0" applyFont="1" applyFill="1" applyBorder="1" applyAlignment="1" applyProtection="1">
      <alignment horizontal="center" vertical="center"/>
      <protection hidden="1"/>
    </xf>
    <xf numFmtId="0" fontId="37" fillId="4" borderId="0" xfId="0" applyFont="1" applyFill="1" applyAlignment="1" applyProtection="1">
      <alignment horizontal="center" vertical="center"/>
      <protection hidden="1"/>
    </xf>
    <xf numFmtId="0" fontId="39" fillId="7" borderId="8" xfId="0" applyFont="1" applyFill="1" applyBorder="1" applyAlignment="1">
      <alignment horizontal="center" vertical="center"/>
    </xf>
    <xf numFmtId="0" fontId="4" fillId="0" borderId="8" xfId="0" applyFont="1" applyBorder="1" applyAlignment="1" applyProtection="1">
      <alignment horizontal="left" vertical="center"/>
      <protection locked="0"/>
    </xf>
    <xf numFmtId="0" fontId="39" fillId="7" borderId="0" xfId="0" applyFont="1" applyFill="1" applyAlignment="1">
      <alignment horizontal="center" vertical="center"/>
    </xf>
    <xf numFmtId="0" fontId="7" fillId="0" borderId="5" xfId="0" applyFont="1" applyBorder="1" applyAlignment="1" applyProtection="1">
      <alignment horizontal="center" vertical="center" wrapText="1"/>
      <protection hidden="1"/>
    </xf>
    <xf numFmtId="0" fontId="5" fillId="5" borderId="0" xfId="0" applyFont="1" applyFill="1" applyAlignment="1" applyProtection="1">
      <alignment horizontal="center" vertical="center"/>
      <protection hidden="1"/>
    </xf>
    <xf numFmtId="0" fontId="35" fillId="12" borderId="1" xfId="0" applyFont="1" applyFill="1" applyBorder="1" applyAlignment="1">
      <alignment horizontal="center" vertical="center"/>
    </xf>
    <xf numFmtId="0" fontId="35" fillId="12" borderId="3" xfId="0" applyFont="1" applyFill="1" applyBorder="1" applyAlignment="1">
      <alignment horizontal="center" vertical="center"/>
    </xf>
    <xf numFmtId="0" fontId="35" fillId="12" borderId="2" xfId="0" applyFont="1" applyFill="1" applyBorder="1" applyAlignment="1">
      <alignment horizontal="center" vertical="center"/>
    </xf>
    <xf numFmtId="0" fontId="7" fillId="0" borderId="5" xfId="0" applyFont="1" applyBorder="1" applyAlignment="1">
      <alignment horizontal="center" vertical="center"/>
    </xf>
    <xf numFmtId="0" fontId="11" fillId="0" borderId="5" xfId="0" applyFont="1" applyBorder="1" applyAlignment="1" applyProtection="1">
      <alignment horizontal="justify" vertical="center" wrapText="1"/>
      <protection hidden="1"/>
    </xf>
    <xf numFmtId="0" fontId="5" fillId="0" borderId="0" xfId="0" applyFont="1" applyAlignment="1">
      <alignment horizontal="left" vertical="center" wrapText="1"/>
    </xf>
    <xf numFmtId="0" fontId="5" fillId="5" borderId="5" xfId="0" applyFont="1" applyFill="1" applyBorder="1" applyAlignment="1" applyProtection="1">
      <alignment horizontal="justify" vertical="center" wrapText="1"/>
      <protection hidden="1"/>
    </xf>
    <xf numFmtId="0" fontId="31" fillId="0" borderId="0" xfId="0" applyFont="1" applyAlignment="1" applyProtection="1">
      <alignment horizontal="center" vertical="center"/>
      <protection hidden="1"/>
    </xf>
    <xf numFmtId="164" fontId="5" fillId="0" borderId="5" xfId="0" applyNumberFormat="1" applyFont="1" applyBorder="1" applyAlignment="1">
      <alignment horizontal="justify"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17" fillId="0" borderId="6" xfId="0" applyFont="1" applyBorder="1" applyAlignment="1" applyProtection="1">
      <alignment horizontal="center" vertical="center"/>
      <protection hidden="1"/>
    </xf>
    <xf numFmtId="0" fontId="17" fillId="5" borderId="40" xfId="0" applyFont="1" applyFill="1" applyBorder="1" applyAlignment="1" applyProtection="1">
      <alignment horizontal="center" vertical="center"/>
      <protection hidden="1"/>
    </xf>
    <xf numFmtId="0" fontId="17" fillId="5" borderId="42" xfId="0" applyFont="1" applyFill="1" applyBorder="1" applyAlignment="1" applyProtection="1">
      <alignment horizontal="center" vertical="center"/>
      <protection hidden="1"/>
    </xf>
    <xf numFmtId="0" fontId="7" fillId="0" borderId="0" xfId="0" applyFont="1" applyAlignment="1">
      <alignment horizontal="left" vertical="center" wrapText="1"/>
    </xf>
    <xf numFmtId="0" fontId="17" fillId="5" borderId="38" xfId="0" applyFont="1" applyFill="1" applyBorder="1" applyAlignment="1" applyProtection="1">
      <alignment horizontal="center" vertical="center"/>
      <protection hidden="1"/>
    </xf>
    <xf numFmtId="0" fontId="17" fillId="5" borderId="7" xfId="0" applyFont="1" applyFill="1" applyBorder="1" applyAlignment="1" applyProtection="1">
      <alignment horizontal="center" vertical="center"/>
      <protection hidden="1"/>
    </xf>
    <xf numFmtId="0" fontId="54" fillId="4" borderId="10" xfId="0" applyFont="1" applyFill="1" applyBorder="1" applyAlignment="1" applyProtection="1">
      <alignment horizontal="center" vertical="center"/>
      <protection hidden="1"/>
    </xf>
    <xf numFmtId="0" fontId="54" fillId="4" borderId="4" xfId="0" applyFont="1" applyFill="1" applyBorder="1" applyAlignment="1" applyProtection="1">
      <alignment horizontal="center" vertical="center"/>
      <protection hidden="1"/>
    </xf>
    <xf numFmtId="0" fontId="54" fillId="4" borderId="11" xfId="0" applyFont="1" applyFill="1" applyBorder="1" applyAlignment="1" applyProtection="1">
      <alignment horizontal="center" vertical="center"/>
      <protection hidden="1"/>
    </xf>
    <xf numFmtId="0" fontId="7" fillId="0" borderId="0" xfId="0" applyFont="1" applyAlignment="1">
      <alignment horizontal="center" vertical="center" wrapText="1"/>
    </xf>
    <xf numFmtId="0" fontId="53" fillId="4" borderId="48" xfId="0" applyFont="1" applyFill="1" applyBorder="1" applyAlignment="1" applyProtection="1">
      <alignment horizontal="center" vertical="center"/>
      <protection hidden="1"/>
    </xf>
    <xf numFmtId="0" fontId="53" fillId="4" borderId="47" xfId="0" applyFont="1" applyFill="1" applyBorder="1" applyAlignment="1" applyProtection="1">
      <alignment horizontal="center" vertical="center"/>
      <protection hidden="1"/>
    </xf>
    <xf numFmtId="9" fontId="53" fillId="4" borderId="47" xfId="0" applyNumberFormat="1" applyFont="1" applyFill="1" applyBorder="1" applyAlignment="1" applyProtection="1">
      <alignment horizontal="center" vertical="center"/>
      <protection hidden="1"/>
    </xf>
    <xf numFmtId="0" fontId="5" fillId="5" borderId="3" xfId="0" applyFont="1" applyFill="1" applyBorder="1" applyAlignment="1">
      <alignment horizontal="center" vertical="center"/>
    </xf>
    <xf numFmtId="0" fontId="5" fillId="5" borderId="2" xfId="0" applyFont="1" applyFill="1" applyBorder="1" applyAlignment="1">
      <alignment horizontal="center" vertical="center"/>
    </xf>
    <xf numFmtId="0" fontId="5" fillId="0" borderId="3" xfId="0" applyFont="1" applyBorder="1" applyAlignment="1" applyProtection="1">
      <alignment horizontal="center" vertical="center"/>
      <protection hidden="1"/>
    </xf>
    <xf numFmtId="0" fontId="7" fillId="23" borderId="59" xfId="0" applyFont="1" applyFill="1" applyBorder="1" applyAlignment="1" applyProtection="1">
      <alignment horizontal="left" vertical="center" wrapText="1"/>
      <protection hidden="1"/>
    </xf>
    <xf numFmtId="0" fontId="7" fillId="23" borderId="13" xfId="0" applyFont="1" applyFill="1" applyBorder="1" applyAlignment="1" applyProtection="1">
      <alignment horizontal="left" vertical="center" wrapText="1"/>
      <protection hidden="1"/>
    </xf>
    <xf numFmtId="44" fontId="7" fillId="0" borderId="59" xfId="0" applyNumberFormat="1" applyFont="1" applyBorder="1" applyAlignment="1" applyProtection="1">
      <alignment horizontal="left" vertical="center" wrapText="1"/>
      <protection hidden="1"/>
    </xf>
    <xf numFmtId="0" fontId="7" fillId="0" borderId="13" xfId="0" applyFont="1" applyBorder="1" applyAlignment="1" applyProtection="1">
      <alignment horizontal="left" vertical="center" wrapText="1"/>
      <protection hidden="1"/>
    </xf>
    <xf numFmtId="0" fontId="7" fillId="23" borderId="9" xfId="0" applyFont="1" applyFill="1" applyBorder="1" applyAlignment="1" applyProtection="1">
      <alignment horizontal="left" vertical="center" wrapText="1"/>
      <protection hidden="1"/>
    </xf>
    <xf numFmtId="44" fontId="7" fillId="0" borderId="9" xfId="0" applyNumberFormat="1" applyFont="1" applyBorder="1" applyAlignment="1" applyProtection="1">
      <alignment horizontal="left" vertical="center" wrapText="1"/>
      <protection hidden="1"/>
    </xf>
    <xf numFmtId="0" fontId="51" fillId="10" borderId="16" xfId="0" applyFont="1" applyFill="1" applyBorder="1" applyAlignment="1">
      <alignment horizontal="left" vertical="center" wrapText="1"/>
    </xf>
    <xf numFmtId="0" fontId="51" fillId="10" borderId="18" xfId="0" applyFont="1" applyFill="1" applyBorder="1" applyAlignment="1">
      <alignment horizontal="left" vertical="center" wrapText="1"/>
    </xf>
    <xf numFmtId="0" fontId="51" fillId="10" borderId="38" xfId="0" applyFont="1" applyFill="1" applyBorder="1" applyAlignment="1">
      <alignment horizontal="center" vertical="center" wrapText="1"/>
    </xf>
    <xf numFmtId="0" fontId="51" fillId="10" borderId="7" xfId="0" applyFont="1" applyFill="1" applyBorder="1" applyAlignment="1">
      <alignment horizontal="center" vertical="center" wrapText="1"/>
    </xf>
    <xf numFmtId="0" fontId="51" fillId="10" borderId="39" xfId="0" applyFont="1" applyFill="1" applyBorder="1" applyAlignment="1">
      <alignment horizontal="center" vertical="center" wrapText="1"/>
    </xf>
    <xf numFmtId="0" fontId="51" fillId="10" borderId="68" xfId="0" applyFont="1" applyFill="1" applyBorder="1" applyAlignment="1">
      <alignment horizontal="left" vertical="center" wrapText="1"/>
    </xf>
    <xf numFmtId="0" fontId="51" fillId="10" borderId="70" xfId="0" applyFont="1" applyFill="1" applyBorder="1" applyAlignment="1">
      <alignment horizontal="left" vertical="center" wrapText="1"/>
    </xf>
    <xf numFmtId="0" fontId="31" fillId="0" borderId="38"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39" xfId="0" applyFont="1" applyBorder="1" applyAlignment="1">
      <alignment horizontal="center" vertical="center" wrapText="1"/>
    </xf>
    <xf numFmtId="0" fontId="52" fillId="10" borderId="68" xfId="0" applyFont="1" applyFill="1" applyBorder="1" applyAlignment="1">
      <alignment horizontal="left" vertical="center" wrapText="1"/>
    </xf>
    <xf numFmtId="0" fontId="52" fillId="10" borderId="69" xfId="0" applyFont="1" applyFill="1" applyBorder="1" applyAlignment="1">
      <alignment horizontal="left" vertical="center" wrapText="1"/>
    </xf>
    <xf numFmtId="0" fontId="51" fillId="10" borderId="19" xfId="0" applyFont="1" applyFill="1" applyBorder="1" applyAlignment="1">
      <alignment horizontal="center" vertical="center" wrapText="1"/>
    </xf>
    <xf numFmtId="0" fontId="51" fillId="10" borderId="21" xfId="0" applyFont="1" applyFill="1" applyBorder="1" applyAlignment="1">
      <alignment horizontal="center" vertical="center" wrapText="1"/>
    </xf>
    <xf numFmtId="0" fontId="51" fillId="10" borderId="17" xfId="0" applyFont="1" applyFill="1" applyBorder="1" applyAlignment="1">
      <alignment horizontal="center" vertical="center" wrapText="1"/>
    </xf>
    <xf numFmtId="0" fontId="51" fillId="10" borderId="20" xfId="0" applyFont="1" applyFill="1" applyBorder="1" applyAlignment="1">
      <alignment horizontal="center" vertical="center" wrapText="1"/>
    </xf>
    <xf numFmtId="0" fontId="52" fillId="10" borderId="67" xfId="0" applyFont="1" applyFill="1" applyBorder="1" applyAlignment="1">
      <alignment horizontal="justify" vertical="center" wrapText="1"/>
    </xf>
    <xf numFmtId="0" fontId="52" fillId="10" borderId="22" xfId="0" applyFont="1" applyFill="1" applyBorder="1" applyAlignment="1">
      <alignment horizontal="justify" vertical="center" wrapText="1"/>
    </xf>
    <xf numFmtId="0" fontId="57" fillId="0" borderId="12" xfId="0" applyFont="1" applyBorder="1" applyAlignment="1" applyProtection="1">
      <alignment horizontal="center" vertical="center" wrapText="1"/>
      <protection hidden="1"/>
    </xf>
    <xf numFmtId="0" fontId="57" fillId="0" borderId="0" xfId="0" applyFont="1" applyBorder="1" applyAlignment="1" applyProtection="1">
      <alignment horizontal="center" vertical="center" wrapText="1"/>
      <protection hidden="1"/>
    </xf>
    <xf numFmtId="0" fontId="57" fillId="0" borderId="73" xfId="0" applyFont="1" applyBorder="1" applyAlignment="1" applyProtection="1">
      <alignment horizontal="center" vertical="center" wrapText="1"/>
      <protection hidden="1"/>
    </xf>
    <xf numFmtId="0" fontId="18" fillId="0" borderId="1" xfId="6" applyFont="1" applyBorder="1" applyAlignment="1">
      <alignment horizontal="left" vertical="center" wrapText="1"/>
    </xf>
    <xf numFmtId="0" fontId="18" fillId="0" borderId="3" xfId="6" applyFont="1" applyBorder="1" applyAlignment="1">
      <alignment horizontal="left" vertical="center" wrapText="1"/>
    </xf>
    <xf numFmtId="0" fontId="18" fillId="0" borderId="2" xfId="6" applyFont="1" applyBorder="1" applyAlignment="1">
      <alignment horizontal="left" vertical="center" wrapText="1"/>
    </xf>
    <xf numFmtId="0" fontId="18" fillId="0" borderId="4" xfId="6" applyFont="1" applyBorder="1" applyAlignment="1">
      <alignment horizontal="left" vertical="center" wrapText="1"/>
    </xf>
    <xf numFmtId="0" fontId="31" fillId="0" borderId="0" xfId="0" applyFont="1" applyAlignment="1">
      <alignment horizontal="left" vertical="center" wrapText="1"/>
    </xf>
    <xf numFmtId="0" fontId="59" fillId="0" borderId="0" xfId="0" applyFont="1" applyAlignment="1" applyProtection="1">
      <alignment horizontal="center" vertical="center"/>
      <protection hidden="1"/>
    </xf>
    <xf numFmtId="0" fontId="4" fillId="0" borderId="5" xfId="0" applyFont="1" applyBorder="1" applyAlignment="1">
      <alignment horizontal="left" vertical="center" wrapText="1"/>
    </xf>
    <xf numFmtId="0" fontId="4" fillId="0" borderId="5" xfId="0" applyFont="1" applyBorder="1" applyAlignment="1" applyProtection="1">
      <alignment horizontal="center" vertical="center"/>
      <protection hidden="1"/>
    </xf>
    <xf numFmtId="0" fontId="4" fillId="0" borderId="4" xfId="0" applyFont="1" applyBorder="1" applyAlignment="1" applyProtection="1">
      <alignment horizontal="center" vertical="center"/>
      <protection hidden="1"/>
    </xf>
    <xf numFmtId="0" fontId="4" fillId="0" borderId="0" xfId="0" applyFont="1" applyAlignment="1">
      <alignment horizontal="center" vertical="center"/>
    </xf>
    <xf numFmtId="0" fontId="37" fillId="4" borderId="60" xfId="10" applyFont="1" applyFill="1" applyBorder="1" applyAlignment="1">
      <alignment horizontal="center" vertical="center" wrapText="1"/>
    </xf>
    <xf numFmtId="0" fontId="37" fillId="4" borderId="34" xfId="10" applyFont="1" applyFill="1" applyBorder="1" applyAlignment="1">
      <alignment horizontal="center" vertical="center" wrapText="1"/>
    </xf>
    <xf numFmtId="0" fontId="22" fillId="0" borderId="28" xfId="6" applyFont="1" applyBorder="1" applyAlignment="1">
      <alignment horizontal="center" vertical="center" wrapText="1"/>
    </xf>
    <xf numFmtId="0" fontId="22" fillId="0" borderId="5" xfId="6" applyFont="1" applyBorder="1" applyAlignment="1">
      <alignment horizontal="center" vertical="center" wrapText="1"/>
    </xf>
    <xf numFmtId="0" fontId="22" fillId="0" borderId="30" xfId="6" applyFont="1" applyBorder="1" applyAlignment="1">
      <alignment horizontal="center" vertical="center" wrapText="1"/>
    </xf>
    <xf numFmtId="0" fontId="31" fillId="0" borderId="0" xfId="0" applyFont="1" applyAlignment="1" applyProtection="1">
      <alignment horizontal="left" vertical="center"/>
      <protection hidden="1"/>
    </xf>
    <xf numFmtId="0" fontId="31" fillId="0" borderId="0" xfId="0" applyFont="1" applyAlignment="1" applyProtection="1">
      <alignment horizontal="left" vertical="center" wrapText="1"/>
      <protection hidden="1"/>
    </xf>
    <xf numFmtId="0" fontId="45" fillId="4" borderId="0" xfId="0" applyFont="1" applyFill="1" applyAlignment="1" applyProtection="1">
      <alignment horizontal="center" vertical="center"/>
      <protection hidden="1"/>
    </xf>
    <xf numFmtId="0" fontId="5" fillId="0" borderId="0" xfId="10" applyFont="1" applyFill="1" applyBorder="1" applyAlignment="1">
      <alignment horizontal="center" vertical="center" wrapText="1"/>
    </xf>
    <xf numFmtId="0" fontId="37" fillId="4" borderId="23" xfId="10" applyFont="1" applyFill="1" applyBorder="1" applyAlignment="1">
      <alignment horizontal="center" vertical="center" wrapText="1"/>
    </xf>
    <xf numFmtId="0" fontId="37" fillId="4" borderId="28" xfId="10" applyFont="1" applyFill="1" applyBorder="1" applyAlignment="1">
      <alignment horizontal="center" vertical="center" wrapText="1"/>
    </xf>
    <xf numFmtId="0" fontId="37" fillId="4" borderId="24" xfId="10" applyFont="1" applyFill="1" applyBorder="1" applyAlignment="1">
      <alignment horizontal="center" vertical="center" wrapText="1"/>
    </xf>
    <xf numFmtId="0" fontId="34" fillId="4" borderId="49" xfId="10" applyFont="1" applyFill="1" applyBorder="1" applyAlignment="1">
      <alignment horizontal="center" vertical="center" wrapText="1"/>
    </xf>
    <xf numFmtId="0" fontId="34" fillId="4" borderId="11" xfId="10" applyFont="1" applyFill="1" applyBorder="1" applyAlignment="1">
      <alignment horizontal="center" vertical="center" wrapText="1"/>
    </xf>
    <xf numFmtId="0" fontId="34" fillId="4" borderId="28" xfId="10" applyFont="1" applyFill="1" applyBorder="1" applyAlignment="1">
      <alignment horizontal="center" vertical="center" wrapText="1"/>
    </xf>
    <xf numFmtId="0" fontId="34" fillId="4" borderId="9" xfId="10" applyFont="1" applyFill="1" applyBorder="1" applyAlignment="1">
      <alignment horizontal="center" vertical="center" wrapText="1"/>
    </xf>
    <xf numFmtId="0" fontId="34" fillId="4" borderId="60" xfId="10" applyFont="1" applyFill="1" applyBorder="1" applyAlignment="1">
      <alignment horizontal="center" vertical="center" wrapText="1"/>
    </xf>
    <xf numFmtId="0" fontId="34" fillId="4" borderId="34" xfId="10" applyFont="1" applyFill="1" applyBorder="1" applyAlignment="1">
      <alignment horizontal="center" vertical="center" wrapText="1"/>
    </xf>
    <xf numFmtId="0" fontId="22" fillId="0" borderId="9" xfId="6" applyFont="1" applyBorder="1" applyAlignment="1">
      <alignment horizontal="justify" vertical="center" wrapText="1"/>
    </xf>
    <xf numFmtId="0" fontId="22" fillId="0" borderId="13" xfId="6" applyFont="1" applyBorder="1" applyAlignment="1">
      <alignment horizontal="justify" vertical="center" wrapText="1"/>
    </xf>
    <xf numFmtId="0" fontId="9" fillId="0" borderId="0" xfId="0" applyFont="1" applyAlignment="1">
      <alignment horizontal="right" vertical="center" wrapText="1"/>
    </xf>
    <xf numFmtId="165" fontId="37" fillId="4" borderId="44" xfId="7" applyNumberFormat="1" applyFont="1" applyFill="1" applyBorder="1" applyAlignment="1" applyProtection="1">
      <alignment horizontal="center" vertical="center"/>
    </xf>
    <xf numFmtId="165" fontId="37" fillId="4" borderId="6" xfId="7" applyNumberFormat="1" applyFont="1" applyFill="1" applyBorder="1" applyAlignment="1" applyProtection="1">
      <alignment horizontal="center" vertical="center"/>
    </xf>
    <xf numFmtId="0" fontId="4" fillId="0" borderId="0" xfId="0" applyFont="1" applyAlignment="1" applyProtection="1">
      <alignment horizontal="left" vertical="center" wrapText="1"/>
      <protection locked="0"/>
    </xf>
    <xf numFmtId="0" fontId="31" fillId="0" borderId="0" xfId="0" applyFont="1" applyAlignment="1">
      <alignment horizontal="right" vertical="center"/>
    </xf>
    <xf numFmtId="0" fontId="9" fillId="0" borderId="28"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0" xfId="0" applyFont="1" applyBorder="1" applyAlignment="1">
      <alignment horizontal="center" vertical="center" wrapText="1"/>
    </xf>
    <xf numFmtId="0" fontId="34" fillId="4" borderId="51" xfId="0" applyFont="1" applyFill="1" applyBorder="1" applyAlignment="1">
      <alignment horizontal="center" vertical="center" wrapText="1"/>
    </xf>
    <xf numFmtId="0" fontId="34" fillId="4" borderId="52" xfId="0" applyFont="1" applyFill="1" applyBorder="1" applyAlignment="1">
      <alignment horizontal="center" vertical="center" wrapText="1"/>
    </xf>
    <xf numFmtId="0" fontId="4" fillId="0" borderId="5" xfId="0" applyFont="1" applyBorder="1" applyAlignment="1">
      <alignment horizontal="center" vertical="center" wrapText="1"/>
    </xf>
    <xf numFmtId="0" fontId="37" fillId="4" borderId="0" xfId="0" applyFont="1" applyFill="1" applyAlignment="1" applyProtection="1">
      <alignment horizontal="center" vertical="center"/>
      <protection locked="0"/>
    </xf>
    <xf numFmtId="0" fontId="56" fillId="4" borderId="8" xfId="0" applyFont="1" applyFill="1" applyBorder="1" applyAlignment="1">
      <alignment horizontal="center" vertical="center"/>
    </xf>
    <xf numFmtId="0" fontId="14" fillId="0" borderId="23" xfId="0" applyFont="1" applyBorder="1" applyAlignment="1" applyProtection="1">
      <alignment horizontal="center" vertical="center"/>
      <protection hidden="1"/>
    </xf>
    <xf numFmtId="0" fontId="14" fillId="0" borderId="71" xfId="0" applyFont="1" applyBorder="1" applyAlignment="1" applyProtection="1">
      <alignment horizontal="center" vertical="center"/>
      <protection hidden="1"/>
    </xf>
    <xf numFmtId="0" fontId="14" fillId="0" borderId="25" xfId="0" applyFont="1" applyBorder="1" applyAlignment="1">
      <alignment horizontal="center" vertical="center"/>
    </xf>
    <xf numFmtId="0" fontId="14" fillId="0" borderId="61" xfId="0" applyFont="1" applyBorder="1" applyAlignment="1">
      <alignment horizontal="center" vertical="center"/>
    </xf>
    <xf numFmtId="0" fontId="55" fillId="4" borderId="1" xfId="11" applyFont="1" applyFill="1" applyBorder="1" applyAlignment="1" applyProtection="1">
      <alignment horizontal="center" vertical="center" wrapText="1"/>
    </xf>
    <xf numFmtId="0" fontId="55" fillId="4" borderId="3" xfId="11" applyFont="1" applyFill="1" applyBorder="1" applyAlignment="1" applyProtection="1">
      <alignment horizontal="center" vertical="center" wrapText="1"/>
    </xf>
    <xf numFmtId="0" fontId="55" fillId="4" borderId="2" xfId="11" applyFont="1" applyFill="1" applyBorder="1" applyAlignment="1" applyProtection="1">
      <alignment horizontal="center" vertical="center" wrapText="1"/>
    </xf>
    <xf numFmtId="0" fontId="0" fillId="0" borderId="0" xfId="0" applyAlignment="1">
      <alignment horizontal="left"/>
    </xf>
    <xf numFmtId="0" fontId="0" fillId="0" borderId="0" xfId="0" applyAlignment="1">
      <alignment horizontal="left" vertical="top" wrapText="1"/>
    </xf>
    <xf numFmtId="165" fontId="44" fillId="20" borderId="5" xfId="7" applyNumberFormat="1" applyFont="1" applyFill="1" applyBorder="1" applyAlignment="1">
      <alignment horizontal="center" vertical="center"/>
    </xf>
  </cellXfs>
  <cellStyles count="12">
    <cellStyle name="60% - Énfasis3 2" xfId="10"/>
    <cellStyle name="Hipervínculo" xfId="11" builtinId="8"/>
    <cellStyle name="Millares" xfId="1" builtinId="3"/>
    <cellStyle name="Millares 2" xfId="5"/>
    <cellStyle name="Millares 4" xfId="7"/>
    <cellStyle name="Moneda" xfId="2" builtinId="4"/>
    <cellStyle name="Moneda 2" xfId="4"/>
    <cellStyle name="Normal" xfId="0" builtinId="0"/>
    <cellStyle name="Normal 2" xfId="8"/>
    <cellStyle name="Normal 5" xfId="6"/>
    <cellStyle name="Normal 7" xfId="9"/>
    <cellStyle name="Porcentaje" xfId="3" builtinId="5"/>
  </cellStyles>
  <dxfs count="41">
    <dxf>
      <font>
        <strike val="0"/>
        <outline val="0"/>
        <shadow val="0"/>
        <u val="none"/>
        <vertAlign val="baseline"/>
        <sz val="11"/>
        <color theme="1"/>
        <name val="Arial"/>
        <scheme val="none"/>
      </font>
      <fill>
        <patternFill patternType="solid">
          <fgColor indexed="64"/>
          <bgColor theme="5" tint="0.3999755851924192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5" tint="0.39997558519241921"/>
        </patternFill>
      </fill>
      <alignment horizontal="center" vertical="center" textRotation="0" wrapText="1" indent="0" justifyLastLine="0" shrinkToFit="0" readingOrder="0"/>
    </dxf>
    <dxf>
      <font>
        <strike val="0"/>
        <outline val="0"/>
        <shadow val="0"/>
        <u val="none"/>
        <vertAlign val="baseline"/>
        <sz val="11"/>
        <color theme="1"/>
        <name val="Arial"/>
        <scheme val="none"/>
      </font>
      <fill>
        <patternFill patternType="solid">
          <fgColor indexed="64"/>
          <bgColor theme="5" tint="0.39997558519241921"/>
        </patternFill>
      </fill>
      <alignment horizontal="center" vertical="center" textRotation="0" wrapText="1" indent="0" justifyLastLine="0" shrinkToFit="0" readingOrder="0"/>
    </dxf>
    <dxf>
      <font>
        <strike val="0"/>
        <outline val="0"/>
        <shadow val="0"/>
        <u val="none"/>
        <vertAlign val="baseline"/>
        <sz val="11"/>
        <color theme="1"/>
        <name val="Arial"/>
        <scheme val="none"/>
      </font>
      <fill>
        <patternFill patternType="solid">
          <fgColor indexed="64"/>
          <bgColor rgb="FFC00000"/>
        </patternFill>
      </fill>
      <alignment horizontal="center" vertical="center" textRotation="0" wrapText="0" indent="0" justifyLastLine="0" shrinkToFit="0" readingOrder="0"/>
    </dxf>
    <dxf>
      <fill>
        <patternFill>
          <bgColor rgb="FF92D050"/>
        </patternFill>
      </fill>
    </dxf>
    <dxf>
      <fill>
        <patternFill>
          <bgColor rgb="FFFFFF00"/>
        </patternFill>
      </fill>
    </dxf>
    <dxf>
      <font>
        <color theme="0"/>
      </font>
      <fill>
        <patternFill>
          <bgColor rgb="FFFF0000"/>
        </patternFill>
      </fill>
    </dxf>
    <dxf>
      <font>
        <color theme="0"/>
      </font>
      <fill>
        <patternFill>
          <bgColor rgb="FF002060"/>
        </patternFill>
      </fill>
    </dxf>
    <dxf>
      <fill>
        <patternFill>
          <bgColor rgb="FF92D050"/>
        </patternFill>
      </fill>
    </dxf>
    <dxf>
      <fill>
        <patternFill>
          <bgColor rgb="FFFFFF00"/>
        </patternFill>
      </fill>
    </dxf>
    <dxf>
      <font>
        <color theme="0"/>
      </font>
      <fill>
        <patternFill>
          <bgColor rgb="FFFF0000"/>
        </patternFill>
      </fill>
    </dxf>
    <dxf>
      <font>
        <color theme="0"/>
      </font>
      <fill>
        <patternFill>
          <bgColor rgb="FF002060"/>
        </patternFill>
      </fill>
    </dxf>
    <dxf>
      <fill>
        <patternFill>
          <bgColor rgb="FF92D050"/>
        </patternFill>
      </fill>
    </dxf>
    <dxf>
      <fill>
        <patternFill>
          <bgColor rgb="FFFFFF00"/>
        </patternFill>
      </fill>
    </dxf>
    <dxf>
      <font>
        <color theme="0"/>
      </font>
      <fill>
        <patternFill>
          <bgColor rgb="FFFF0000"/>
        </patternFill>
      </fill>
    </dxf>
    <dxf>
      <font>
        <color theme="0"/>
      </font>
      <fill>
        <patternFill>
          <bgColor rgb="FF002060"/>
        </patternFill>
      </fill>
    </dxf>
    <dxf>
      <fill>
        <patternFill>
          <bgColor rgb="FF92D050"/>
        </patternFill>
      </fill>
    </dxf>
    <dxf>
      <fill>
        <patternFill>
          <bgColor rgb="FFFFFF00"/>
        </patternFill>
      </fill>
    </dxf>
    <dxf>
      <font>
        <color theme="0"/>
      </font>
      <fill>
        <patternFill>
          <bgColor rgb="FFFF0000"/>
        </patternFill>
      </fill>
    </dxf>
    <dxf>
      <font>
        <color theme="0"/>
      </font>
      <fill>
        <patternFill>
          <bgColor rgb="FF002060"/>
        </patternFill>
      </fill>
    </dxf>
    <dxf>
      <font>
        <b val="0"/>
        <i val="0"/>
        <strike val="0"/>
        <color theme="0"/>
      </font>
      <fill>
        <patternFill>
          <bgColor theme="1"/>
        </patternFill>
      </fill>
    </dxf>
    <dxf>
      <font>
        <strike val="0"/>
        <color theme="1"/>
      </font>
      <fill>
        <patternFill>
          <bgColor rgb="FF92D050"/>
        </patternFill>
      </fill>
    </dxf>
    <dxf>
      <font>
        <strike val="0"/>
        <color theme="1"/>
      </font>
      <fill>
        <patternFill>
          <bgColor rgb="FFFFFF00"/>
        </patternFill>
      </fill>
    </dxf>
    <dxf>
      <font>
        <strike val="0"/>
        <color theme="1"/>
      </font>
      <fill>
        <patternFill>
          <bgColor rgb="FFFF0000"/>
        </patternFill>
      </fill>
    </dxf>
    <dxf>
      <font>
        <b/>
        <i val="0"/>
        <color theme="0" tint="-4.9989318521683403E-2"/>
        <name val="Calibri Light"/>
        <scheme val="none"/>
      </font>
      <fill>
        <patternFill>
          <bgColor rgb="FFC00000"/>
        </patternFill>
      </fill>
    </dxf>
    <dxf>
      <font>
        <b val="0"/>
        <i val="0"/>
        <strike val="0"/>
        <color theme="0"/>
      </font>
      <fill>
        <patternFill>
          <bgColor theme="1"/>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ont>
        <strike val="0"/>
        <color theme="1"/>
      </font>
      <fill>
        <patternFill>
          <bgColor rgb="FF92D050"/>
        </patternFill>
      </fill>
    </dxf>
    <dxf>
      <font>
        <strike val="0"/>
        <color theme="1"/>
      </font>
      <fill>
        <patternFill>
          <bgColor rgb="FFFFFF00"/>
        </patternFill>
      </fill>
    </dxf>
    <dxf>
      <font>
        <strike val="0"/>
        <color theme="1"/>
      </font>
      <fill>
        <patternFill>
          <bgColor rgb="FFFF0000"/>
        </patternFill>
      </fill>
    </dxf>
    <dxf>
      <font>
        <b/>
        <i val="0"/>
        <color theme="0" tint="-4.9989318521683403E-2"/>
        <name val="Calibri Light"/>
        <scheme val="none"/>
      </font>
      <fill>
        <patternFill>
          <bgColor rgb="FFC00000"/>
        </patternFill>
      </fill>
    </dxf>
    <dxf>
      <font>
        <b val="0"/>
        <i val="0"/>
        <strike val="0"/>
        <color theme="0"/>
      </font>
      <fill>
        <patternFill>
          <bgColor theme="1"/>
        </patternFill>
      </fill>
    </dxf>
    <dxf>
      <font>
        <b val="0"/>
        <i val="0"/>
        <strike val="0"/>
        <color theme="0"/>
      </font>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474827</xdr:colOff>
      <xdr:row>0</xdr:row>
      <xdr:rowOff>55083</xdr:rowOff>
    </xdr:from>
    <xdr:to>
      <xdr:col>0</xdr:col>
      <xdr:colOff>1812346</xdr:colOff>
      <xdr:row>1</xdr:row>
      <xdr:rowOff>343121</xdr:rowOff>
    </xdr:to>
    <xdr:pic>
      <xdr:nvPicPr>
        <xdr:cNvPr id="2" name="image2.jpg" descr="logo nuevo contraloria">
          <a:extLst>
            <a:ext uri="{FF2B5EF4-FFF2-40B4-BE49-F238E27FC236}">
              <a16:creationId xmlns:a16="http://schemas.microsoft.com/office/drawing/2014/main" xmlns=""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27" y="55083"/>
          <a:ext cx="1337519" cy="7864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439067</xdr:colOff>
      <xdr:row>4</xdr:row>
      <xdr:rowOff>64679</xdr:rowOff>
    </xdr:from>
    <xdr:to>
      <xdr:col>1</xdr:col>
      <xdr:colOff>1726851</xdr:colOff>
      <xdr:row>5</xdr:row>
      <xdr:rowOff>337344</xdr:rowOff>
    </xdr:to>
    <xdr:pic>
      <xdr:nvPicPr>
        <xdr:cNvPr id="2" name="image2.jpg" descr="logo nuevo contraloria">
          <a:extLst>
            <a:ext uri="{FF2B5EF4-FFF2-40B4-BE49-F238E27FC236}">
              <a16:creationId xmlns:a16="http://schemas.microsoft.com/office/drawing/2014/main" xmlns=""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7270" y="352413"/>
          <a:ext cx="1287784" cy="7786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310016</xdr:colOff>
      <xdr:row>1</xdr:row>
      <xdr:rowOff>129608</xdr:rowOff>
    </xdr:from>
    <xdr:ext cx="1595526" cy="1016455"/>
    <xdr:pic>
      <xdr:nvPicPr>
        <xdr:cNvPr id="3" name="image2.jpg" descr="logo nuevo contraloria">
          <a:extLst>
            <a:ext uri="{FF2B5EF4-FFF2-40B4-BE49-F238E27FC236}">
              <a16:creationId xmlns:a16="http://schemas.microsoft.com/office/drawing/2014/main" xmlns=""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866" y="320108"/>
          <a:ext cx="1595526" cy="10164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xdr:col>
      <xdr:colOff>3082407</xdr:colOff>
      <xdr:row>96</xdr:row>
      <xdr:rowOff>188129</xdr:rowOff>
    </xdr:from>
    <xdr:to>
      <xdr:col>5</xdr:col>
      <xdr:colOff>1993641</xdr:colOff>
      <xdr:row>97</xdr:row>
      <xdr:rowOff>447091</xdr:rowOff>
    </xdr:to>
    <xdr:sp macro="" textlink="">
      <xdr:nvSpPr>
        <xdr:cNvPr id="4" name="2 Rectángulo redondeado">
          <a:extLst>
            <a:ext uri="{FF2B5EF4-FFF2-40B4-BE49-F238E27FC236}">
              <a16:creationId xmlns:a16="http://schemas.microsoft.com/office/drawing/2014/main" xmlns="" id="{D568D42D-AB98-4D6A-9C9F-F2E0925AC693}"/>
            </a:ext>
          </a:extLst>
        </xdr:cNvPr>
        <xdr:cNvSpPr/>
      </xdr:nvSpPr>
      <xdr:spPr>
        <a:xfrm>
          <a:off x="3791922" y="46899507"/>
          <a:ext cx="9505367" cy="453349"/>
        </a:xfrm>
        <a:prstGeom prst="roundRect">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800" b="1">
              <a:solidFill>
                <a:schemeClr val="bg1"/>
              </a:solidFill>
            </a:rPr>
            <a:t>OPINION </a:t>
          </a:r>
          <a:r>
            <a:rPr lang="es-CO" sz="2800" b="1" baseline="0">
              <a:solidFill>
                <a:schemeClr val="bg1"/>
              </a:solidFill>
            </a:rPr>
            <a:t>PRESUPUESTAL</a:t>
          </a:r>
          <a:endParaRPr lang="es-CO" sz="1100" b="1">
            <a:solidFill>
              <a:schemeClr val="bg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bog/AppData/Roaming/Microsoft/Excel/PVCGF%2004%20-%20XX%20MATERIALIDAD%20Y%20CALIFICACION%20DEL%20GASTO%20PUBLICO%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TERIALIDAD GASTO PÚBLICO"/>
      <sheetName val="CALIFICACION GASTO PUBLICO"/>
    </sheetNames>
    <sheetDataSet>
      <sheetData sheetId="0"/>
      <sheetData sheetId="1">
        <row r="40">
          <cell r="O40">
            <v>0.7</v>
          </cell>
        </row>
        <row r="41">
          <cell r="O41">
            <v>0.75</v>
          </cell>
        </row>
        <row r="42">
          <cell r="O42">
            <v>0.8</v>
          </cell>
        </row>
      </sheetData>
      <sheetData sheetId="2"/>
    </sheetDataSet>
  </externalBook>
</externalLink>
</file>

<file path=xl/tables/table1.xml><?xml version="1.0" encoding="utf-8"?>
<table xmlns="http://schemas.openxmlformats.org/spreadsheetml/2006/main" id="2" name="ConceptoPresupuesto23" displayName="ConceptoPresupuesto23" ref="AV2:AW8" totalsRowShown="0" headerRowDxfId="3" dataDxfId="2">
  <autoFilter ref="AV2:AW8"/>
  <tableColumns count="2">
    <tableColumn id="1" name="CONCEPTO" dataDxfId="1"/>
    <tableColumn id="2" name="CALIFICACION" dataDxfId="0"/>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16"/>
  <sheetViews>
    <sheetView showGridLines="0" tabSelected="1" topLeftCell="A4" zoomScaleNormal="100" workbookViewId="0">
      <selection activeCell="B8" sqref="B8:C8"/>
    </sheetView>
  </sheetViews>
  <sheetFormatPr baseColWidth="10" defaultColWidth="11.42578125" defaultRowHeight="14.25" x14ac:dyDescent="0.25"/>
  <cols>
    <col min="1" max="1" width="33.85546875" style="70" customWidth="1"/>
    <col min="2" max="2" width="70.140625" style="70" customWidth="1"/>
    <col min="3" max="3" width="21.140625" style="70" customWidth="1"/>
    <col min="4" max="4" width="24.5703125" style="70" customWidth="1"/>
    <col min="5" max="5" width="28.85546875" style="70" customWidth="1"/>
    <col min="6" max="6" width="18.140625" style="70" customWidth="1"/>
    <col min="7" max="7" width="22.42578125" style="70" customWidth="1"/>
    <col min="8" max="8" width="14.7109375" style="70" customWidth="1"/>
    <col min="9" max="9" width="33" style="70" customWidth="1"/>
    <col min="10" max="10" width="24.5703125" style="70" customWidth="1"/>
    <col min="11" max="11" width="23.7109375" style="70" customWidth="1"/>
    <col min="12" max="12" width="21.5703125" style="70" customWidth="1"/>
    <col min="13" max="13" width="33" style="70" customWidth="1"/>
    <col min="14" max="14" width="22.42578125" style="70" customWidth="1"/>
    <col min="15" max="15" width="19.7109375" style="70" customWidth="1"/>
    <col min="16" max="16" width="22.7109375" style="70" customWidth="1"/>
    <col min="17" max="17" width="19.140625" style="70" customWidth="1"/>
    <col min="18" max="18" width="15.85546875" style="70" customWidth="1"/>
    <col min="19" max="19" width="33.140625" style="70" customWidth="1"/>
    <col min="20" max="45" width="11.42578125" style="70"/>
    <col min="46" max="46" width="48.85546875" style="70" customWidth="1"/>
    <col min="47" max="16384" width="11.42578125" style="70"/>
  </cols>
  <sheetData>
    <row r="1" spans="1:19" ht="39" customHeight="1" x14ac:dyDescent="0.25">
      <c r="A1" s="471"/>
      <c r="B1" s="418" t="s">
        <v>808</v>
      </c>
      <c r="C1" s="419"/>
      <c r="D1" s="419"/>
      <c r="E1" s="419"/>
      <c r="F1" s="419"/>
      <c r="G1" s="419"/>
      <c r="H1" s="419"/>
      <c r="I1" s="419"/>
      <c r="J1" s="419"/>
      <c r="K1" s="419"/>
      <c r="L1" s="419"/>
      <c r="M1" s="419"/>
      <c r="N1" s="419"/>
      <c r="O1" s="419"/>
      <c r="P1" s="419"/>
      <c r="Q1" s="419"/>
      <c r="R1" s="420"/>
      <c r="S1" s="481" t="s">
        <v>810</v>
      </c>
    </row>
    <row r="2" spans="1:19" ht="42.75" customHeight="1" thickBot="1" x14ac:dyDescent="0.3">
      <c r="A2" s="472"/>
      <c r="B2" s="421"/>
      <c r="C2" s="422"/>
      <c r="D2" s="422"/>
      <c r="E2" s="422"/>
      <c r="F2" s="422"/>
      <c r="G2" s="422"/>
      <c r="H2" s="422"/>
      <c r="I2" s="422"/>
      <c r="J2" s="422"/>
      <c r="K2" s="422"/>
      <c r="L2" s="422"/>
      <c r="M2" s="422"/>
      <c r="N2" s="422"/>
      <c r="O2" s="422"/>
      <c r="P2" s="422"/>
      <c r="Q2" s="422"/>
      <c r="R2" s="423"/>
      <c r="S2" s="482"/>
    </row>
    <row r="3" spans="1:19" x14ac:dyDescent="0.25">
      <c r="A3" s="473"/>
      <c r="B3" s="473"/>
      <c r="C3" s="473"/>
      <c r="D3" s="473"/>
      <c r="E3" s="473"/>
      <c r="F3" s="473"/>
      <c r="G3" s="473"/>
      <c r="H3" s="473"/>
      <c r="I3" s="473"/>
      <c r="J3" s="473"/>
      <c r="K3" s="473"/>
      <c r="L3" s="473"/>
      <c r="M3" s="473"/>
      <c r="N3" s="473"/>
      <c r="O3" s="473"/>
      <c r="P3" s="473"/>
      <c r="Q3" s="473"/>
      <c r="R3" s="473"/>
      <c r="S3" s="473"/>
    </row>
    <row r="4" spans="1:19" ht="18" x14ac:dyDescent="0.25">
      <c r="A4" s="454" t="s">
        <v>0</v>
      </c>
      <c r="B4" s="454"/>
      <c r="C4" s="454"/>
      <c r="D4" s="454"/>
      <c r="E4" s="454"/>
      <c r="F4" s="454"/>
      <c r="G4" s="454"/>
      <c r="H4" s="454"/>
      <c r="I4" s="454"/>
      <c r="J4" s="454"/>
      <c r="K4" s="454"/>
      <c r="L4" s="454"/>
      <c r="M4" s="454"/>
      <c r="N4" s="454"/>
      <c r="O4" s="454"/>
      <c r="P4" s="454"/>
      <c r="Q4" s="454"/>
      <c r="R4" s="454"/>
      <c r="S4" s="454"/>
    </row>
    <row r="5" spans="1:19" ht="18" x14ac:dyDescent="0.25">
      <c r="A5" s="454" t="s">
        <v>2</v>
      </c>
      <c r="B5" s="454"/>
      <c r="C5" s="454"/>
      <c r="D5" s="454"/>
      <c r="E5" s="454"/>
      <c r="F5" s="454"/>
      <c r="G5" s="454"/>
      <c r="H5" s="454"/>
      <c r="I5" s="454"/>
      <c r="J5" s="454"/>
      <c r="K5" s="454"/>
      <c r="L5" s="454"/>
      <c r="M5" s="454"/>
      <c r="N5" s="454"/>
      <c r="O5" s="454"/>
      <c r="P5" s="454"/>
      <c r="Q5" s="454"/>
      <c r="R5" s="454"/>
      <c r="S5" s="454"/>
    </row>
    <row r="6" spans="1:19" ht="18" x14ac:dyDescent="0.25">
      <c r="A6" s="361"/>
      <c r="B6" s="361"/>
      <c r="C6" s="361"/>
      <c r="D6" s="361"/>
      <c r="E6" s="361"/>
      <c r="F6" s="361"/>
      <c r="G6" s="361"/>
      <c r="H6" s="361"/>
      <c r="I6" s="361"/>
      <c r="J6" s="361"/>
      <c r="K6" s="361"/>
      <c r="L6" s="361"/>
      <c r="M6" s="361"/>
      <c r="N6" s="361"/>
      <c r="O6" s="361"/>
      <c r="P6" s="361"/>
      <c r="Q6" s="361"/>
      <c r="R6" s="361"/>
      <c r="S6" s="361"/>
    </row>
    <row r="7" spans="1:19" ht="18" x14ac:dyDescent="0.25">
      <c r="A7" s="377" t="s">
        <v>307</v>
      </c>
      <c r="B7" s="467" t="str">
        <f>_xlfn.IFNA(VLOOKUP(B8,LISTAS!$F$3:$H$100,3,),"")</f>
        <v xml:space="preserve">150000 - DIRECCIÓN SECTOR HACIENDA </v>
      </c>
      <c r="C7" s="467"/>
      <c r="D7" s="60"/>
      <c r="E7" s="61"/>
      <c r="F7" s="61"/>
      <c r="G7" s="61"/>
      <c r="H7" s="61"/>
      <c r="I7" s="139"/>
      <c r="J7" s="139"/>
      <c r="K7" s="139"/>
      <c r="L7" s="139"/>
      <c r="M7" s="139"/>
      <c r="N7" s="139"/>
      <c r="O7" s="139"/>
      <c r="P7" s="139"/>
      <c r="Q7" s="63"/>
      <c r="R7" s="63"/>
    </row>
    <row r="8" spans="1:19" ht="30" customHeight="1" x14ac:dyDescent="0.25">
      <c r="A8" s="378" t="s">
        <v>328</v>
      </c>
      <c r="B8" s="468" t="s">
        <v>339</v>
      </c>
      <c r="C8" s="468"/>
      <c r="E8" s="377" t="s">
        <v>226</v>
      </c>
      <c r="F8" s="474"/>
      <c r="G8" s="474"/>
      <c r="H8" s="62"/>
      <c r="I8" s="85"/>
      <c r="J8" s="85"/>
      <c r="K8" s="85"/>
      <c r="L8" s="85"/>
      <c r="M8" s="85"/>
      <c r="N8" s="85"/>
      <c r="O8" s="85"/>
      <c r="P8" s="85"/>
      <c r="Q8" s="320"/>
      <c r="R8" s="320"/>
    </row>
    <row r="9" spans="1:19" ht="15" x14ac:dyDescent="0.25">
      <c r="A9" s="377" t="s">
        <v>225</v>
      </c>
      <c r="B9" s="469"/>
      <c r="C9" s="469"/>
      <c r="E9" s="377" t="s">
        <v>308</v>
      </c>
      <c r="F9" s="470"/>
      <c r="G9" s="470"/>
      <c r="H9" s="62"/>
      <c r="I9" s="85"/>
      <c r="J9" s="85"/>
      <c r="K9" s="85"/>
      <c r="L9" s="85"/>
      <c r="M9" s="85"/>
      <c r="N9" s="85"/>
      <c r="O9" s="63"/>
      <c r="P9" s="63"/>
      <c r="Q9" s="320"/>
      <c r="R9" s="320"/>
    </row>
    <row r="10" spans="1:19" ht="15" x14ac:dyDescent="0.25">
      <c r="A10" s="377" t="s">
        <v>309</v>
      </c>
      <c r="B10" s="469"/>
      <c r="C10" s="469"/>
      <c r="E10" s="64" t="s">
        <v>310</v>
      </c>
      <c r="F10" s="470"/>
      <c r="G10" s="470"/>
      <c r="H10" s="62"/>
      <c r="I10" s="85"/>
      <c r="J10" s="85"/>
      <c r="K10" s="85"/>
      <c r="L10" s="85"/>
      <c r="M10" s="85"/>
      <c r="N10" s="85"/>
      <c r="O10" s="85"/>
      <c r="P10" s="85"/>
      <c r="Q10" s="320"/>
      <c r="R10" s="320"/>
    </row>
    <row r="11" spans="1:19" ht="15" x14ac:dyDescent="0.25">
      <c r="A11" s="377"/>
      <c r="B11" s="78"/>
      <c r="E11" s="64"/>
      <c r="F11" s="85"/>
      <c r="G11" s="85"/>
      <c r="H11" s="62"/>
      <c r="I11" s="85"/>
      <c r="J11" s="85"/>
      <c r="K11" s="85"/>
      <c r="L11" s="85"/>
      <c r="M11" s="85"/>
      <c r="N11" s="85"/>
      <c r="O11" s="85"/>
      <c r="P11" s="85"/>
      <c r="Q11" s="320"/>
      <c r="R11" s="320"/>
    </row>
    <row r="12" spans="1:19" ht="15.75" thickBot="1" x14ac:dyDescent="0.3">
      <c r="A12" s="377"/>
      <c r="B12" s="78"/>
      <c r="E12" s="64"/>
      <c r="F12" s="85"/>
      <c r="G12" s="85"/>
      <c r="H12" s="62"/>
      <c r="I12" s="85"/>
      <c r="J12" s="85"/>
      <c r="K12" s="85"/>
      <c r="L12" s="85"/>
      <c r="M12" s="85"/>
      <c r="N12" s="85"/>
      <c r="O12" s="85"/>
      <c r="P12" s="85"/>
      <c r="Q12" s="320"/>
      <c r="R12" s="320"/>
    </row>
    <row r="13" spans="1:19" ht="15" x14ac:dyDescent="0.25">
      <c r="A13" s="435" t="s">
        <v>314</v>
      </c>
      <c r="B13" s="436"/>
      <c r="C13" s="439" t="s">
        <v>409</v>
      </c>
      <c r="D13" s="439"/>
      <c r="E13" s="439"/>
      <c r="F13" s="439"/>
      <c r="G13" s="439"/>
      <c r="H13" s="439"/>
      <c r="I13" s="439"/>
      <c r="J13" s="441" t="s">
        <v>410</v>
      </c>
      <c r="K13" s="439"/>
      <c r="L13" s="439"/>
      <c r="M13" s="439"/>
      <c r="N13" s="439"/>
      <c r="O13" s="439"/>
      <c r="P13" s="439"/>
      <c r="Q13" s="439"/>
      <c r="R13" s="439"/>
      <c r="S13" s="321"/>
    </row>
    <row r="14" spans="1:19" ht="15" thickBot="1" x14ac:dyDescent="0.3">
      <c r="A14" s="437"/>
      <c r="B14" s="438"/>
      <c r="C14" s="440"/>
      <c r="D14" s="440"/>
      <c r="E14" s="440"/>
      <c r="F14" s="440"/>
      <c r="G14" s="440"/>
      <c r="H14" s="440"/>
      <c r="I14" s="440"/>
      <c r="J14" s="442"/>
      <c r="K14" s="440"/>
      <c r="L14" s="440"/>
      <c r="M14" s="440"/>
      <c r="N14" s="440"/>
      <c r="O14" s="440"/>
      <c r="P14" s="440"/>
      <c r="Q14" s="440"/>
      <c r="R14" s="440"/>
      <c r="S14" s="322" t="s">
        <v>311</v>
      </c>
    </row>
    <row r="15" spans="1:19" ht="65.25" customHeight="1" x14ac:dyDescent="0.25">
      <c r="A15" s="443" t="s">
        <v>266</v>
      </c>
      <c r="B15" s="431" t="s">
        <v>573</v>
      </c>
      <c r="C15" s="443" t="s">
        <v>541</v>
      </c>
      <c r="D15" s="433" t="s">
        <v>540</v>
      </c>
      <c r="E15" s="433" t="s">
        <v>542</v>
      </c>
      <c r="F15" s="433" t="s">
        <v>543</v>
      </c>
      <c r="G15" s="433" t="s">
        <v>321</v>
      </c>
      <c r="H15" s="433" t="s">
        <v>312</v>
      </c>
      <c r="I15" s="431" t="s">
        <v>313</v>
      </c>
      <c r="J15" s="443" t="s">
        <v>405</v>
      </c>
      <c r="K15" s="433" t="s">
        <v>406</v>
      </c>
      <c r="L15" s="433"/>
      <c r="M15" s="433" t="s">
        <v>544</v>
      </c>
      <c r="N15" s="433" t="s">
        <v>545</v>
      </c>
      <c r="O15" s="475" t="s">
        <v>546</v>
      </c>
      <c r="P15" s="476"/>
      <c r="Q15" s="477"/>
      <c r="R15" s="433" t="s">
        <v>323</v>
      </c>
      <c r="S15" s="431" t="s">
        <v>547</v>
      </c>
    </row>
    <row r="16" spans="1:19" ht="23.25" customHeight="1" thickBot="1" x14ac:dyDescent="0.3">
      <c r="A16" s="444"/>
      <c r="B16" s="432"/>
      <c r="C16" s="444"/>
      <c r="D16" s="434"/>
      <c r="E16" s="434"/>
      <c r="F16" s="434"/>
      <c r="G16" s="434"/>
      <c r="H16" s="434"/>
      <c r="I16" s="432"/>
      <c r="J16" s="444"/>
      <c r="K16" s="360" t="s">
        <v>407</v>
      </c>
      <c r="L16" s="360" t="s">
        <v>408</v>
      </c>
      <c r="M16" s="434"/>
      <c r="N16" s="434"/>
      <c r="O16" s="478"/>
      <c r="P16" s="479"/>
      <c r="Q16" s="480"/>
      <c r="R16" s="434"/>
      <c r="S16" s="432"/>
    </row>
    <row r="17" spans="1:46" ht="16.5" customHeight="1" x14ac:dyDescent="0.25">
      <c r="A17" s="463"/>
      <c r="B17" s="464"/>
      <c r="C17" s="464"/>
      <c r="D17" s="464"/>
      <c r="E17" s="464"/>
      <c r="F17" s="464"/>
      <c r="G17" s="464"/>
      <c r="H17" s="464"/>
      <c r="I17" s="464"/>
      <c r="J17" s="464"/>
      <c r="K17" s="464"/>
      <c r="L17" s="464"/>
      <c r="M17" s="464"/>
      <c r="N17" s="464"/>
      <c r="O17" s="464"/>
      <c r="P17" s="464"/>
      <c r="Q17" s="464"/>
      <c r="R17" s="464"/>
      <c r="S17" s="465"/>
    </row>
    <row r="18" spans="1:46" ht="15" x14ac:dyDescent="0.25">
      <c r="A18" s="323" t="str">
        <f>IF(VLOOKUP($B$8,LISTAS!$F$3:$I$100,4)="X","Sin Recaudo",IF(OR(VLOOKUP($B$8,LISTAS!$F$3:$G$100,2)="Empresa Industrial y Comercial",VLOOKUP($B$8,LISTAS!$F$3:$G$100,2)="Subred"),LISTAS!AO4,IF(OR(VLOOKUP($B$8,LISTAS!$F$3:$G$100,2)="Mixta",VLOOKUP($B$8,LISTAS!$F$3:$G$100,2)="Menor 50%"),"No Aplica",LISTAS!AH4)))</f>
        <v>O1</v>
      </c>
      <c r="B18" s="324" t="str">
        <f>IF(A18="Sin Recaudo","Sin Recaudo",IF(A18="No Aplica","No Aplica",IF(A18=LISTAS!AH4,LISTAS!AI4,LISTAS!AP4)))</f>
        <v>INGRESOS</v>
      </c>
      <c r="C18" s="325">
        <v>10000000000</v>
      </c>
      <c r="D18" s="326">
        <f>IF(C18="","",C18/$C$18)</f>
        <v>1</v>
      </c>
      <c r="E18" s="325">
        <v>12000000000</v>
      </c>
      <c r="F18" s="326">
        <f>IF(E18="","",E18/$E$18)</f>
        <v>1</v>
      </c>
      <c r="G18" s="327">
        <f>IF(AND(C18="",E18=""),"",E18-C18)</f>
        <v>2000000000</v>
      </c>
      <c r="H18" s="326">
        <f>IF(E18="",G18/C18,G18/E18)</f>
        <v>0.16666666666666666</v>
      </c>
      <c r="I18" s="328"/>
      <c r="J18" s="325">
        <v>12000000000</v>
      </c>
      <c r="K18" s="325"/>
      <c r="L18" s="325"/>
      <c r="M18" s="327">
        <f>IF(J18="","",J18-K18+L18)</f>
        <v>12000000000</v>
      </c>
      <c r="N18" s="325">
        <v>12000000000</v>
      </c>
      <c r="O18" s="445">
        <f>IF(OR(E18="",N18=""),"",N18/E18)</f>
        <v>1</v>
      </c>
      <c r="P18" s="445"/>
      <c r="Q18" s="445"/>
      <c r="R18" s="65" t="s">
        <v>76</v>
      </c>
      <c r="S18" s="329"/>
      <c r="AT18" s="380" t="str">
        <f t="shared" ref="AT18:AT44" si="0">CONCATENATE(A18,"-",B18)</f>
        <v>O1-INGRESOS</v>
      </c>
    </row>
    <row r="19" spans="1:46" ht="15" x14ac:dyDescent="0.25">
      <c r="A19" s="323" t="str">
        <f>IF(VLOOKUP($B$8,LISTAS!$F$3:$I$100,4)="X","Sin Recaudo",IF(OR(VLOOKUP($B$8,LISTAS!$F$3:$G$100,2)="Empresa Industrial y Comercial",VLOOKUP($B$8,LISTAS!$F$3:$G$100,2)="Subred"),LISTAS!AO5,IF(OR(VLOOKUP($B$8,LISTAS!$F$3:$G$100,2)="Mixta",VLOOKUP($B$8,LISTAS!$F$3:$G$100,2)="Menor 50%"),"No Aplica",LISTAS!AH5)))</f>
        <v>O10</v>
      </c>
      <c r="B19" s="324" t="str">
        <f>IF(A19="Sin Recaudo","Sin Recaudo",IF(A19="No Aplica","No Aplica",IF(A19=LISTAS!AH5,LISTAS!AI5,LISTAS!AP5)))</f>
        <v>DISPONIBILIDAD INICIAL</v>
      </c>
      <c r="C19" s="325">
        <v>2000000</v>
      </c>
      <c r="D19" s="326">
        <f t="shared" ref="D19:D43" si="1">IF(C19="","",C19/$C$18)</f>
        <v>2.0000000000000001E-4</v>
      </c>
      <c r="E19" s="325">
        <v>200000</v>
      </c>
      <c r="F19" s="326">
        <f t="shared" ref="F19:F43" si="2">IF(E19="","",E19/$E$18)</f>
        <v>1.6666666666666667E-5</v>
      </c>
      <c r="G19" s="327">
        <f t="shared" ref="G19:G43" si="3">IF(AND(C19="",E19=""),"",E19-C19)</f>
        <v>-1800000</v>
      </c>
      <c r="H19" s="326">
        <f t="shared" ref="H19:H43" si="4">IF(E19="",G19/C19,G19/E19)</f>
        <v>-9</v>
      </c>
      <c r="I19" s="328"/>
      <c r="J19" s="325">
        <v>200000</v>
      </c>
      <c r="K19" s="325"/>
      <c r="L19" s="325"/>
      <c r="M19" s="327">
        <f t="shared" ref="M19:M43" si="5">IF(J19="","",J19-K19+L19)</f>
        <v>200000</v>
      </c>
      <c r="N19" s="325">
        <v>200000</v>
      </c>
      <c r="O19" s="445">
        <f t="shared" ref="O19:O44" si="6">IF(OR(E19="",N19=""),"",N19/E19)</f>
        <v>1</v>
      </c>
      <c r="P19" s="445"/>
      <c r="Q19" s="445"/>
      <c r="R19" s="65" t="s">
        <v>79</v>
      </c>
      <c r="S19" s="329"/>
      <c r="AT19" s="380" t="str">
        <f t="shared" si="0"/>
        <v>O10-DISPONIBILIDAD INICIAL</v>
      </c>
    </row>
    <row r="20" spans="1:46" x14ac:dyDescent="0.25">
      <c r="A20" s="330" t="str">
        <f>IF(VLOOKUP($B$8,LISTAS!$F$3:$I$100,4)="X","Sin Recaudo",IF(OR(VLOOKUP($B$8,LISTAS!$F$3:$G$100,2)="Empresa Industrial y Comercial",VLOOKUP($B$8,LISTAS!$F$3:$G$100,2)="Subred"),LISTAS!AO6,IF(OR(VLOOKUP($B$8,LISTAS!$F$3:$G$100,2)="Mixta",VLOOKUP($B$8,LISTAS!$F$3:$G$100,2)="Menor 50%"),"No Aplica",LISTAS!AH6)))</f>
        <v>O1002</v>
      </c>
      <c r="B20" s="20" t="str">
        <f>IF(A20="Sin Recaudo","Sin Recaudo",IF(A20="No Aplica","No Aplica",IF(A20=LISTAS!AH6,LISTAS!AI6,LISTAS!AP6)))</f>
        <v>Bancos</v>
      </c>
      <c r="C20" s="331">
        <v>3000000</v>
      </c>
      <c r="D20" s="332">
        <f t="shared" si="1"/>
        <v>2.9999999999999997E-4</v>
      </c>
      <c r="E20" s="331">
        <v>5000000</v>
      </c>
      <c r="F20" s="332">
        <f t="shared" si="2"/>
        <v>4.1666666666666669E-4</v>
      </c>
      <c r="G20" s="333">
        <f t="shared" si="3"/>
        <v>2000000</v>
      </c>
      <c r="H20" s="332">
        <f t="shared" si="4"/>
        <v>0.4</v>
      </c>
      <c r="I20" s="328"/>
      <c r="J20" s="331">
        <v>5000000</v>
      </c>
      <c r="K20" s="331"/>
      <c r="L20" s="331"/>
      <c r="M20" s="333">
        <f t="shared" si="5"/>
        <v>5000000</v>
      </c>
      <c r="N20" s="331">
        <v>5000000</v>
      </c>
      <c r="O20" s="446">
        <f t="shared" si="6"/>
        <v>1</v>
      </c>
      <c r="P20" s="446"/>
      <c r="Q20" s="446"/>
      <c r="R20" s="373" t="s">
        <v>79</v>
      </c>
      <c r="S20" s="329"/>
      <c r="AT20" s="380" t="str">
        <f t="shared" si="0"/>
        <v>O1002-Bancos</v>
      </c>
    </row>
    <row r="21" spans="1:46" x14ac:dyDescent="0.25">
      <c r="A21" s="330" t="str">
        <f>IF(VLOOKUP($B$8,LISTAS!$F$3:$I$100,4)="X","Sin Recaudo",IF(OR(VLOOKUP($B$8,LISTAS!$F$3:$G$100,2)="Empresa Industrial y Comercial",VLOOKUP($B$8,LISTAS!$F$3:$G$100,2)="Subred"),LISTAS!AO7,IF(OR(VLOOKUP($B$8,LISTAS!$F$3:$G$100,2)="Mixta",VLOOKUP($B$8,LISTAS!$F$3:$G$100,2)="Menor 50%"),"No Aplica",LISTAS!AH7)))</f>
        <v>O1003</v>
      </c>
      <c r="B21" s="20" t="str">
        <f>IF(A21="Sin Recaudo","Sin Recaudo",IF(A21="No Aplica","No Aplica",IF(A21=LISTAS!AH7,LISTAS!AI7,LISTAS!AP7)))</f>
        <v>Inversiones Temporales</v>
      </c>
      <c r="C21" s="331">
        <v>120000</v>
      </c>
      <c r="D21" s="332">
        <f t="shared" si="1"/>
        <v>1.2E-5</v>
      </c>
      <c r="E21" s="331">
        <v>120000</v>
      </c>
      <c r="F21" s="332">
        <f t="shared" si="2"/>
        <v>1.0000000000000001E-5</v>
      </c>
      <c r="G21" s="333">
        <f t="shared" si="3"/>
        <v>0</v>
      </c>
      <c r="H21" s="332">
        <f t="shared" si="4"/>
        <v>0</v>
      </c>
      <c r="I21" s="328"/>
      <c r="J21" s="331">
        <v>120000</v>
      </c>
      <c r="K21" s="331"/>
      <c r="L21" s="331"/>
      <c r="M21" s="333">
        <f t="shared" si="5"/>
        <v>120000</v>
      </c>
      <c r="N21" s="331">
        <v>120000</v>
      </c>
      <c r="O21" s="446">
        <f t="shared" si="6"/>
        <v>1</v>
      </c>
      <c r="P21" s="446"/>
      <c r="Q21" s="446"/>
      <c r="R21" s="373"/>
      <c r="S21" s="329"/>
      <c r="AT21" s="380" t="str">
        <f t="shared" si="0"/>
        <v>O1003-Inversiones Temporales</v>
      </c>
    </row>
    <row r="22" spans="1:46" ht="15" x14ac:dyDescent="0.25">
      <c r="A22" s="323" t="str">
        <f>IF(VLOOKUP($B$8,LISTAS!$F$3:$I$100,4)="X","Sin Recaudo",IF(OR(VLOOKUP($B$8,LISTAS!$F$3:$G$100,2)="Empresa Industrial y Comercial",VLOOKUP($B$8,LISTAS!$F$3:$G$100,2)="Subred"),LISTAS!AO8,IF(OR(VLOOKUP($B$8,LISTAS!$F$3:$G$100,2)="Mixta",VLOOKUP($B$8,LISTAS!$F$3:$G$100,2)="Menor 50%"),"No Aplica",LISTAS!AH8)))</f>
        <v>O11</v>
      </c>
      <c r="B22" s="324" t="str">
        <f>IF(A22="Sin Recaudo","Sin Recaudo",IF(A22="No Aplica","No Aplica",IF(A22=LISTAS!AH8,LISTAS!AI8,LISTAS!AP8)))</f>
        <v>INGRESOS CORRIENTES</v>
      </c>
      <c r="C22" s="325">
        <v>2000000</v>
      </c>
      <c r="D22" s="326">
        <f t="shared" si="1"/>
        <v>2.0000000000000001E-4</v>
      </c>
      <c r="E22" s="325">
        <v>2000000</v>
      </c>
      <c r="F22" s="326">
        <f t="shared" si="2"/>
        <v>1.6666666666666666E-4</v>
      </c>
      <c r="G22" s="327">
        <f t="shared" si="3"/>
        <v>0</v>
      </c>
      <c r="H22" s="326">
        <f t="shared" si="4"/>
        <v>0</v>
      </c>
      <c r="I22" s="328"/>
      <c r="J22" s="325">
        <v>2000000</v>
      </c>
      <c r="K22" s="325"/>
      <c r="L22" s="325"/>
      <c r="M22" s="327">
        <f t="shared" si="5"/>
        <v>2000000</v>
      </c>
      <c r="N22" s="325">
        <v>2000000</v>
      </c>
      <c r="O22" s="445">
        <f t="shared" si="6"/>
        <v>1</v>
      </c>
      <c r="P22" s="445"/>
      <c r="Q22" s="445"/>
      <c r="R22" s="65"/>
      <c r="S22" s="329"/>
      <c r="AT22" s="380" t="str">
        <f t="shared" si="0"/>
        <v>O11-INGRESOS CORRIENTES</v>
      </c>
    </row>
    <row r="23" spans="1:46" x14ac:dyDescent="0.25">
      <c r="A23" s="330" t="str">
        <f>IF(VLOOKUP($B$8,LISTAS!$F$3:$I$100,4)="X","Sin Recaudo",IF(OR(VLOOKUP($B$8,LISTAS!$F$3:$G$100,2)="Empresa Industrial y Comercial",VLOOKUP($B$8,LISTAS!$F$3:$G$100,2)="Subred"),LISTAS!AO9,IF(OR(VLOOKUP($B$8,LISTAS!$F$3:$G$100,2)="Mixta",VLOOKUP($B$8,LISTAS!$F$3:$G$100,2)="Menor 50%"),"No Aplica",LISTAS!AH9)))</f>
        <v>O1101</v>
      </c>
      <c r="B23" s="20" t="str">
        <f>IF(A23="Sin Recaudo","Sin Recaudo",IF(A23="No Aplica","No Aplica",IF(A23=LISTAS!AH9,LISTAS!AI9,LISTAS!AP9)))</f>
        <v>Tributarios</v>
      </c>
      <c r="C23" s="331">
        <v>1200000</v>
      </c>
      <c r="D23" s="332">
        <f t="shared" si="1"/>
        <v>1.2E-4</v>
      </c>
      <c r="E23" s="331">
        <v>12000</v>
      </c>
      <c r="F23" s="332">
        <f t="shared" si="2"/>
        <v>9.9999999999999995E-7</v>
      </c>
      <c r="G23" s="333">
        <f t="shared" si="3"/>
        <v>-1188000</v>
      </c>
      <c r="H23" s="332">
        <f t="shared" si="4"/>
        <v>-99</v>
      </c>
      <c r="I23" s="328"/>
      <c r="J23" s="331">
        <v>12000</v>
      </c>
      <c r="K23" s="331"/>
      <c r="L23" s="331"/>
      <c r="M23" s="333">
        <f t="shared" si="5"/>
        <v>12000</v>
      </c>
      <c r="N23" s="331">
        <v>12000</v>
      </c>
      <c r="O23" s="446">
        <f t="shared" si="6"/>
        <v>1</v>
      </c>
      <c r="P23" s="446"/>
      <c r="Q23" s="446"/>
      <c r="R23" s="373"/>
      <c r="S23" s="329"/>
      <c r="AT23" s="380" t="str">
        <f t="shared" si="0"/>
        <v>O1101-Tributarios</v>
      </c>
    </row>
    <row r="24" spans="1:46" x14ac:dyDescent="0.25">
      <c r="A24" s="330" t="str">
        <f>IF(VLOOKUP($B$8,LISTAS!$F$3:$I$100,4)="X","Sin Recaudo",IF(OR(VLOOKUP($B$8,LISTAS!$F$3:$G$100,2)="Empresa Industrial y Comercial",VLOOKUP($B$8,LISTAS!$F$3:$G$100,2)="Subred"),LISTAS!AO10,IF(OR(VLOOKUP($B$8,LISTAS!$F$3:$G$100,2)="Mixta",VLOOKUP($B$8,LISTAS!$F$3:$G$100,2)="Menor 50%"),"No Aplica",LISTAS!AH10)))</f>
        <v>O1102</v>
      </c>
      <c r="B24" s="20" t="str">
        <f>IF(A24="Sin Recaudo","Sin Recaudo",IF(A24="No Aplica","No Aplica",IF(A24=LISTAS!AH9,LISTAS!AI9,LISTAS!AP10)))</f>
        <v>No Tributarios</v>
      </c>
      <c r="C24" s="331">
        <v>1200000</v>
      </c>
      <c r="D24" s="332">
        <f t="shared" si="1"/>
        <v>1.2E-4</v>
      </c>
      <c r="E24" s="331">
        <v>12000</v>
      </c>
      <c r="F24" s="332">
        <f t="shared" si="2"/>
        <v>9.9999999999999995E-7</v>
      </c>
      <c r="G24" s="333">
        <f t="shared" si="3"/>
        <v>-1188000</v>
      </c>
      <c r="H24" s="332">
        <f t="shared" si="4"/>
        <v>-99</v>
      </c>
      <c r="I24" s="328"/>
      <c r="J24" s="331">
        <v>12000</v>
      </c>
      <c r="K24" s="331"/>
      <c r="L24" s="331"/>
      <c r="M24" s="333">
        <f t="shared" si="5"/>
        <v>12000</v>
      </c>
      <c r="N24" s="331">
        <v>12000</v>
      </c>
      <c r="O24" s="446">
        <f t="shared" si="6"/>
        <v>1</v>
      </c>
      <c r="P24" s="446"/>
      <c r="Q24" s="446"/>
      <c r="R24" s="373"/>
      <c r="S24" s="329"/>
      <c r="AT24" s="380" t="str">
        <f t="shared" si="0"/>
        <v>O1102-No Tributarios</v>
      </c>
    </row>
    <row r="25" spans="1:46" ht="15" x14ac:dyDescent="0.25">
      <c r="A25" s="323" t="str">
        <f>IF(VLOOKUP($B$8,LISTAS!$F$3:$I$100,4)="X","Sin Recaudo",IF(OR(VLOOKUP($B$8,LISTAS!$F$3:$G$100,2)="Empresa Industrial y Comercial",VLOOKUP($B$8,LISTAS!$F$3:$G$100,2)="Subred"),LISTAS!AO11,IF(OR(VLOOKUP($B$8,LISTAS!$F$3:$G$100,2)="Mixta",VLOOKUP($B$8,LISTAS!$F$3:$G$100,2)="Menor 50%"),"No Aplica",LISTAS!AH11)))</f>
        <v>O12</v>
      </c>
      <c r="B25" s="324" t="str">
        <f>IF(A25="Sin Recaudo","Sin Recaudo",IF(A25="No Aplica","No Aplica",IF(A25=LISTAS!AH10,LISTAS!AI10,LISTAS!AP11)))</f>
        <v>RECURSOS DE CAPITAL</v>
      </c>
      <c r="C25" s="325">
        <v>1200000</v>
      </c>
      <c r="D25" s="326">
        <f t="shared" si="1"/>
        <v>1.2E-4</v>
      </c>
      <c r="E25" s="325">
        <v>12000</v>
      </c>
      <c r="F25" s="326">
        <f t="shared" si="2"/>
        <v>9.9999999999999995E-7</v>
      </c>
      <c r="G25" s="327">
        <f t="shared" si="3"/>
        <v>-1188000</v>
      </c>
      <c r="H25" s="326">
        <f t="shared" si="4"/>
        <v>-99</v>
      </c>
      <c r="I25" s="334"/>
      <c r="J25" s="325">
        <v>12000</v>
      </c>
      <c r="K25" s="325"/>
      <c r="L25" s="325"/>
      <c r="M25" s="327">
        <f t="shared" si="5"/>
        <v>12000</v>
      </c>
      <c r="N25" s="325">
        <v>12000</v>
      </c>
      <c r="O25" s="445">
        <f t="shared" si="6"/>
        <v>1</v>
      </c>
      <c r="P25" s="445"/>
      <c r="Q25" s="445"/>
      <c r="R25" s="65"/>
      <c r="S25" s="329"/>
      <c r="AT25" s="380" t="str">
        <f t="shared" si="0"/>
        <v>O12-RECURSOS DE CAPITAL</v>
      </c>
    </row>
    <row r="26" spans="1:46" x14ac:dyDescent="0.25">
      <c r="A26" s="330" t="str">
        <f>IF(VLOOKUP($B$8,LISTAS!$F$3:$I$100,4)="X","Sin Recaudo",IF(OR(VLOOKUP($B$8,LISTAS!$F$3:$G$100,2)="Empresa Industrial y Comercial",VLOOKUP($B$8,LISTAS!$F$3:$G$100,2)="Subred"),LISTAS!AO12,IF(OR(VLOOKUP($B$8,LISTAS!$F$3:$G$100,2)="Mixta",VLOOKUP($B$8,LISTAS!$F$3:$G$100,2)="Menor 50%"),"No Aplica",LISTAS!AH12)))</f>
        <v>O1201</v>
      </c>
      <c r="B26" s="20" t="str">
        <f>IF(A26="Sin Recaudo","Sin Recaudo",IF(A26="No Aplica","No Aplica",IF(A26=LISTAS!AH11,LISTAS!AI11,LISTAS!AP12)))</f>
        <v>Disposición de activos</v>
      </c>
      <c r="C26" s="331">
        <v>1200000</v>
      </c>
      <c r="D26" s="332">
        <f t="shared" si="1"/>
        <v>1.2E-4</v>
      </c>
      <c r="E26" s="331">
        <v>14000</v>
      </c>
      <c r="F26" s="332">
        <f t="shared" si="2"/>
        <v>1.1666666666666666E-6</v>
      </c>
      <c r="G26" s="333">
        <f t="shared" si="3"/>
        <v>-1186000</v>
      </c>
      <c r="H26" s="332">
        <f t="shared" si="4"/>
        <v>-84.714285714285708</v>
      </c>
      <c r="I26" s="328"/>
      <c r="J26" s="331">
        <v>14000</v>
      </c>
      <c r="K26" s="331"/>
      <c r="L26" s="331"/>
      <c r="M26" s="333">
        <f t="shared" si="5"/>
        <v>14000</v>
      </c>
      <c r="N26" s="331">
        <v>14000</v>
      </c>
      <c r="O26" s="446">
        <f t="shared" si="6"/>
        <v>1</v>
      </c>
      <c r="P26" s="446"/>
      <c r="Q26" s="446"/>
      <c r="R26" s="373"/>
      <c r="S26" s="329"/>
      <c r="AT26" s="380" t="str">
        <f t="shared" si="0"/>
        <v>O1201-Disposición de activos</v>
      </c>
    </row>
    <row r="27" spans="1:46" x14ac:dyDescent="0.25">
      <c r="A27" s="330" t="str">
        <f>IF(VLOOKUP($B$8,LISTAS!$F$3:$I$100,4)="X","Sin Recaudo",IF(OR(VLOOKUP($B$8,LISTAS!$F$3:$G$100,2)="Empresa Industrial y Comercial",VLOOKUP($B$8,LISTAS!$F$3:$G$100,2)="Subred"),LISTAS!AO13,IF(OR(VLOOKUP($B$8,LISTAS!$F$3:$G$100,2)="Mixta",VLOOKUP($B$8,LISTAS!$F$3:$G$100,2)="Menor 50%"),"No Aplica",LISTAS!AH13)))</f>
        <v>O1202</v>
      </c>
      <c r="B27" s="20" t="str">
        <f>IF(A27="Sin Recaudo","Sin Recaudo",IF(A27="No Aplica","No Aplica",IF(A27=LISTAS!AH12,LISTAS!AI12,LISTAS!AP13)))</f>
        <v>Excedentes financieros</v>
      </c>
      <c r="C27" s="331">
        <v>1200000</v>
      </c>
      <c r="D27" s="332">
        <f t="shared" si="1"/>
        <v>1.2E-4</v>
      </c>
      <c r="E27" s="331">
        <v>14000</v>
      </c>
      <c r="F27" s="332">
        <f t="shared" si="2"/>
        <v>1.1666666666666666E-6</v>
      </c>
      <c r="G27" s="333">
        <f t="shared" si="3"/>
        <v>-1186000</v>
      </c>
      <c r="H27" s="332">
        <f t="shared" si="4"/>
        <v>-84.714285714285708</v>
      </c>
      <c r="I27" s="328"/>
      <c r="J27" s="331">
        <v>14000</v>
      </c>
      <c r="K27" s="331"/>
      <c r="L27" s="331"/>
      <c r="M27" s="333">
        <f t="shared" si="5"/>
        <v>14000</v>
      </c>
      <c r="N27" s="331">
        <v>14000</v>
      </c>
      <c r="O27" s="446">
        <f t="shared" si="6"/>
        <v>1</v>
      </c>
      <c r="P27" s="446"/>
      <c r="Q27" s="446"/>
      <c r="R27" s="373"/>
      <c r="S27" s="329"/>
      <c r="AT27" s="380" t="str">
        <f t="shared" si="0"/>
        <v>O1202-Excedentes financieros</v>
      </c>
    </row>
    <row r="28" spans="1:46" ht="13.5" customHeight="1" x14ac:dyDescent="0.25">
      <c r="A28" s="330" t="str">
        <f>IF(VLOOKUP($B$8,LISTAS!$F$3:$I$100,4)="X","Sin Recaudo",IF(OR(VLOOKUP($B$8,LISTAS!$F$3:$G$100,2)="Empresa Industrial y Comercial",VLOOKUP($B$8,LISTAS!$F$3:$G$100,2)="Subred"),LISTAS!AO14,IF(OR(VLOOKUP($B$8,LISTAS!$F$3:$G$100,2)="Mixta",VLOOKUP($B$8,LISTAS!$F$3:$G$100,2)="Menor 50%"),"No Aplica",LISTAS!AH14)))</f>
        <v>O1203</v>
      </c>
      <c r="B28" s="20" t="str">
        <f>IF(A28="Sin Recaudo","Sin Recaudo",IF(A28="No Aplica","No Aplica",IF(A28=LISTAS!AH13,LISTAS!AI13,LISTAS!AP14)))</f>
        <v>Dividendos y utilidades por otras Inversiones de CAPITAL</v>
      </c>
      <c r="C28" s="331">
        <v>1200000</v>
      </c>
      <c r="D28" s="332">
        <f t="shared" si="1"/>
        <v>1.2E-4</v>
      </c>
      <c r="E28" s="331">
        <v>14000</v>
      </c>
      <c r="F28" s="332">
        <f t="shared" si="2"/>
        <v>1.1666666666666666E-6</v>
      </c>
      <c r="G28" s="333">
        <f t="shared" si="3"/>
        <v>-1186000</v>
      </c>
      <c r="H28" s="332">
        <f t="shared" si="4"/>
        <v>-84.714285714285708</v>
      </c>
      <c r="I28" s="328"/>
      <c r="J28" s="331">
        <v>14000</v>
      </c>
      <c r="K28" s="331"/>
      <c r="L28" s="331"/>
      <c r="M28" s="333">
        <f t="shared" si="5"/>
        <v>14000</v>
      </c>
      <c r="N28" s="331">
        <v>14000</v>
      </c>
      <c r="O28" s="446">
        <f t="shared" si="6"/>
        <v>1</v>
      </c>
      <c r="P28" s="446"/>
      <c r="Q28" s="446"/>
      <c r="R28" s="373" t="s">
        <v>76</v>
      </c>
      <c r="S28" s="329"/>
      <c r="AT28" s="380" t="str">
        <f t="shared" si="0"/>
        <v>O1203-Dividendos y utilidades por otras Inversiones de CAPITAL</v>
      </c>
    </row>
    <row r="29" spans="1:46" x14ac:dyDescent="0.25">
      <c r="A29" s="330" t="str">
        <f>IF(VLOOKUP($B$8,LISTAS!$F$3:$I$100,4)="X","Sin Recaudo",IF(OR(VLOOKUP($B$8,LISTAS!$F$3:$G$100,2)="Empresa Industrial y Comercial",VLOOKUP($B$8,LISTAS!$F$3:$G$100,2)="Subred"),LISTAS!AO15,IF(OR(VLOOKUP($B$8,LISTAS!$F$3:$G$100,2)="Mixta",VLOOKUP($B$8,LISTAS!$F$3:$G$100,2)="Menor 50%"),"No Aplica",LISTAS!AH15)))</f>
        <v>O1205</v>
      </c>
      <c r="B29" s="20" t="str">
        <f>IF(A29="Sin Recaudo","Sin Recaudo",IF(A29="No Aplica","No Aplica",IF(A29=LISTAS!AH14,LISTAS!AI14,LISTAS!AP15)))</f>
        <v>Rendimientos financieros</v>
      </c>
      <c r="C29" s="331">
        <v>1200000</v>
      </c>
      <c r="D29" s="332">
        <f t="shared" si="1"/>
        <v>1.2E-4</v>
      </c>
      <c r="E29" s="331">
        <v>14000</v>
      </c>
      <c r="F29" s="332">
        <f t="shared" si="2"/>
        <v>1.1666666666666666E-6</v>
      </c>
      <c r="G29" s="333">
        <f t="shared" si="3"/>
        <v>-1186000</v>
      </c>
      <c r="H29" s="332">
        <f t="shared" si="4"/>
        <v>-84.714285714285708</v>
      </c>
      <c r="I29" s="328"/>
      <c r="J29" s="331">
        <v>14000</v>
      </c>
      <c r="K29" s="331"/>
      <c r="L29" s="331"/>
      <c r="M29" s="333">
        <f t="shared" si="5"/>
        <v>14000</v>
      </c>
      <c r="N29" s="331">
        <v>14000</v>
      </c>
      <c r="O29" s="446">
        <f t="shared" si="6"/>
        <v>1</v>
      </c>
      <c r="P29" s="446"/>
      <c r="Q29" s="446"/>
      <c r="R29" s="373"/>
      <c r="S29" s="329"/>
      <c r="AT29" s="380" t="str">
        <f t="shared" si="0"/>
        <v>O1205-Rendimientos financieros</v>
      </c>
    </row>
    <row r="30" spans="1:46" x14ac:dyDescent="0.25">
      <c r="A30" s="330" t="str">
        <f>IF(VLOOKUP($B$8,LISTAS!$F$3:$I$100,4)="X","Sin Recaudo",IF(OR(VLOOKUP($B$8,LISTAS!$F$3:$G$100,2)="Empresa Industrial y Comercial",VLOOKUP($B$8,LISTAS!$F$3:$G$100,2)="Subred"),LISTAS!AO16,IF(OR(VLOOKUP($B$8,LISTAS!$F$3:$G$100,2)="Mixta",VLOOKUP($B$8,LISTAS!$F$3:$G$100,2)="Menor 50%"),"No Aplica",LISTAS!AH16)))</f>
        <v>O1206</v>
      </c>
      <c r="B30" s="20" t="str">
        <f>IF(A30="Sin Recaudo","Sin Recaudo",IF(A30="No Aplica","No Aplica",IF(A30=LISTAS!AH15,LISTAS!AI15,LISTAS!AP16)))</f>
        <v>RECURSOS de crédito externo</v>
      </c>
      <c r="C30" s="331">
        <v>1200000</v>
      </c>
      <c r="D30" s="332">
        <f t="shared" si="1"/>
        <v>1.2E-4</v>
      </c>
      <c r="E30" s="331">
        <v>14000</v>
      </c>
      <c r="F30" s="332">
        <f t="shared" si="2"/>
        <v>1.1666666666666666E-6</v>
      </c>
      <c r="G30" s="333">
        <f t="shared" si="3"/>
        <v>-1186000</v>
      </c>
      <c r="H30" s="332">
        <f t="shared" si="4"/>
        <v>-84.714285714285708</v>
      </c>
      <c r="I30" s="328"/>
      <c r="J30" s="331">
        <v>14000</v>
      </c>
      <c r="K30" s="331"/>
      <c r="L30" s="331"/>
      <c r="M30" s="333">
        <f t="shared" si="5"/>
        <v>14000</v>
      </c>
      <c r="N30" s="331">
        <v>14000</v>
      </c>
      <c r="O30" s="446">
        <f t="shared" si="6"/>
        <v>1</v>
      </c>
      <c r="P30" s="446"/>
      <c r="Q30" s="446"/>
      <c r="R30" s="373"/>
      <c r="S30" s="329"/>
      <c r="AT30" s="380" t="str">
        <f t="shared" si="0"/>
        <v>O1206-RECURSOS de crédito externo</v>
      </c>
    </row>
    <row r="31" spans="1:46" x14ac:dyDescent="0.25">
      <c r="A31" s="330" t="str">
        <f>IF(VLOOKUP($B$8,LISTAS!$F$3:$I$100,4)="X","Sin Recaudo",IF(OR(VLOOKUP($B$8,LISTAS!$F$3:$G$100,2)="Empresa Industrial y Comercial",VLOOKUP($B$8,LISTAS!$F$3:$G$100,2)="Subred"),LISTAS!AO17,IF(OR(VLOOKUP($B$8,LISTAS!$F$3:$G$100,2)="Mixta",VLOOKUP($B$8,LISTAS!$F$3:$G$100,2)="Menor 50%"),"No Aplica",LISTAS!AH17)))</f>
        <v>O1207</v>
      </c>
      <c r="B31" s="20" t="str">
        <f>IF(A31="Sin Recaudo","Sin Recaudo",IF(A31="No Aplica","No Aplica",IF(A31=LISTAS!AH16,LISTAS!AI16,LISTAS!AP17)))</f>
        <v>RECURSOS de crédito interno</v>
      </c>
      <c r="C31" s="331">
        <v>1200000</v>
      </c>
      <c r="D31" s="332">
        <f t="shared" si="1"/>
        <v>1.2E-4</v>
      </c>
      <c r="E31" s="331">
        <v>14000</v>
      </c>
      <c r="F31" s="332">
        <f t="shared" si="2"/>
        <v>1.1666666666666666E-6</v>
      </c>
      <c r="G31" s="333">
        <f t="shared" si="3"/>
        <v>-1186000</v>
      </c>
      <c r="H31" s="332">
        <f t="shared" si="4"/>
        <v>-84.714285714285708</v>
      </c>
      <c r="I31" s="328"/>
      <c r="J31" s="331">
        <v>14000</v>
      </c>
      <c r="K31" s="331"/>
      <c r="L31" s="331"/>
      <c r="M31" s="333">
        <f t="shared" si="5"/>
        <v>14000</v>
      </c>
      <c r="N31" s="331">
        <v>14000</v>
      </c>
      <c r="O31" s="446">
        <f t="shared" si="6"/>
        <v>1</v>
      </c>
      <c r="P31" s="446"/>
      <c r="Q31" s="446"/>
      <c r="R31" s="373"/>
      <c r="S31" s="329"/>
      <c r="AT31" s="380" t="str">
        <f t="shared" si="0"/>
        <v>O1207-RECURSOS de crédito interno</v>
      </c>
    </row>
    <row r="32" spans="1:46" x14ac:dyDescent="0.25">
      <c r="A32" s="330" t="str">
        <f>IF(VLOOKUP($B$8,LISTAS!$F$3:$I$100,4)="X","Sin Recaudo",IF(OR(VLOOKUP($B$8,LISTAS!$F$3:$G$100,2)="Empresa Industrial y Comercial",VLOOKUP($B$8,LISTAS!$F$3:$G$100,2)="Subred"),LISTAS!AO18,IF(OR(VLOOKUP($B$8,LISTAS!$F$3:$G$100,2)="Mixta",VLOOKUP($B$8,LISTAS!$F$3:$G$100,2)="Menor 50%"),"No Aplica",LISTAS!AH18)))</f>
        <v>O1208</v>
      </c>
      <c r="B32" s="20" t="str">
        <f>IF(A32="Sin Recaudo","Sin Recaudo",IF(A32="No Aplica","No Aplica",IF(A32=LISTAS!AH17,LISTAS!AI17,LISTAS!AP18)))</f>
        <v>Transferencias de CAPITAL</v>
      </c>
      <c r="C32" s="331">
        <v>1200000</v>
      </c>
      <c r="D32" s="332">
        <f t="shared" si="1"/>
        <v>1.2E-4</v>
      </c>
      <c r="E32" s="331">
        <v>14000</v>
      </c>
      <c r="F32" s="332">
        <f t="shared" si="2"/>
        <v>1.1666666666666666E-6</v>
      </c>
      <c r="G32" s="333">
        <f t="shared" si="3"/>
        <v>-1186000</v>
      </c>
      <c r="H32" s="332">
        <f t="shared" si="4"/>
        <v>-84.714285714285708</v>
      </c>
      <c r="I32" s="328"/>
      <c r="J32" s="331">
        <v>14000</v>
      </c>
      <c r="K32" s="331"/>
      <c r="L32" s="331"/>
      <c r="M32" s="333">
        <f t="shared" si="5"/>
        <v>14000</v>
      </c>
      <c r="N32" s="331">
        <v>14000</v>
      </c>
      <c r="O32" s="446">
        <f t="shared" si="6"/>
        <v>1</v>
      </c>
      <c r="P32" s="446"/>
      <c r="Q32" s="446"/>
      <c r="R32" s="373" t="s">
        <v>76</v>
      </c>
      <c r="S32" s="329"/>
      <c r="AT32" s="380" t="str">
        <f t="shared" si="0"/>
        <v>O1208-Transferencias de CAPITAL</v>
      </c>
    </row>
    <row r="33" spans="1:46" x14ac:dyDescent="0.25">
      <c r="A33" s="330" t="str">
        <f>IF(VLOOKUP($B$8,LISTAS!$F$3:$I$100,4)="X","Sin Recaudo",IF(OR(VLOOKUP($B$8,LISTAS!$F$3:$G$100,2)="Empresa Industrial y Comercial",VLOOKUP($B$8,LISTAS!$F$3:$G$100,2)="Subred"),LISTAS!AO19,IF(OR(VLOOKUP($B$8,LISTAS!$F$3:$G$100,2)="Mixta",VLOOKUP($B$8,LISTAS!$F$3:$G$100,2)="Menor 50%"),"No Aplica",LISTAS!AH19)))</f>
        <v>O1209</v>
      </c>
      <c r="B33" s="20" t="str">
        <f>IF(A33="Sin Recaudo","Sin Recaudo",IF(A33="No Aplica","No Aplica",IF(A33=LISTAS!AH18,LISTAS!AI18,LISTAS!AP19)))</f>
        <v>Recuperación de cartera</v>
      </c>
      <c r="C33" s="331">
        <v>1200000</v>
      </c>
      <c r="D33" s="332">
        <f t="shared" si="1"/>
        <v>1.2E-4</v>
      </c>
      <c r="E33" s="331">
        <v>14000</v>
      </c>
      <c r="F33" s="332">
        <f t="shared" si="2"/>
        <v>1.1666666666666666E-6</v>
      </c>
      <c r="G33" s="333">
        <f t="shared" si="3"/>
        <v>-1186000</v>
      </c>
      <c r="H33" s="332">
        <f t="shared" si="4"/>
        <v>-84.714285714285708</v>
      </c>
      <c r="I33" s="328"/>
      <c r="J33" s="331">
        <v>14000</v>
      </c>
      <c r="K33" s="331"/>
      <c r="L33" s="331"/>
      <c r="M33" s="333">
        <f t="shared" si="5"/>
        <v>14000</v>
      </c>
      <c r="N33" s="331">
        <v>14000</v>
      </c>
      <c r="O33" s="446">
        <f t="shared" si="6"/>
        <v>1</v>
      </c>
      <c r="P33" s="446"/>
      <c r="Q33" s="446"/>
      <c r="R33" s="373"/>
      <c r="S33" s="329"/>
      <c r="AT33" s="380" t="str">
        <f t="shared" si="0"/>
        <v>O1209-Recuperación de cartera</v>
      </c>
    </row>
    <row r="34" spans="1:46" x14ac:dyDescent="0.25">
      <c r="A34" s="330" t="str">
        <f>IF(VLOOKUP($B$8,LISTAS!$F$3:$I$100,4)="X","Sin Recaudo",IF(OR(VLOOKUP($B$8,LISTAS!$F$3:$G$100,2)="Empresa Industrial y Comercial",VLOOKUP($B$8,LISTAS!$F$3:$G$100,2)="Subred"),LISTAS!AO20,IF(OR(VLOOKUP($B$8,LISTAS!$F$3:$G$100,2)="Mixta",VLOOKUP($B$8,LISTAS!$F$3:$G$100,2)="Menor 50%"),"No Aplica",LISTAS!AH20)))</f>
        <v>O1210</v>
      </c>
      <c r="B34" s="20" t="str">
        <f>IF(A34="Sin Recaudo","Sin Recaudo",IF(A34="No Aplica","No Aplica",IF(A34=LISTAS!AH19,LISTAS!AI19,LISTAS!AP20)))</f>
        <v>RECURSOS del balance</v>
      </c>
      <c r="C34" s="331">
        <v>1200000</v>
      </c>
      <c r="D34" s="332">
        <f t="shared" si="1"/>
        <v>1.2E-4</v>
      </c>
      <c r="E34" s="331">
        <v>14000</v>
      </c>
      <c r="F34" s="332">
        <f t="shared" si="2"/>
        <v>1.1666666666666666E-6</v>
      </c>
      <c r="G34" s="333">
        <f t="shared" si="3"/>
        <v>-1186000</v>
      </c>
      <c r="H34" s="332">
        <f t="shared" si="4"/>
        <v>-84.714285714285708</v>
      </c>
      <c r="I34" s="328"/>
      <c r="J34" s="331">
        <v>14000</v>
      </c>
      <c r="K34" s="331"/>
      <c r="L34" s="331"/>
      <c r="M34" s="333">
        <f t="shared" si="5"/>
        <v>14000</v>
      </c>
      <c r="N34" s="331">
        <v>14000</v>
      </c>
      <c r="O34" s="446">
        <f t="shared" si="6"/>
        <v>1</v>
      </c>
      <c r="P34" s="446"/>
      <c r="Q34" s="446"/>
      <c r="R34" s="373"/>
      <c r="S34" s="329"/>
      <c r="AT34" s="380" t="str">
        <f t="shared" si="0"/>
        <v>O1210-RECURSOS del balance</v>
      </c>
    </row>
    <row r="35" spans="1:46" x14ac:dyDescent="0.25">
      <c r="A35" s="330" t="str">
        <f>IF(VLOOKUP($B$8,LISTAS!$F$3:$I$100,4)="X","Sin Recaudo",IF(OR(VLOOKUP($B$8,LISTAS!$F$3:$G$100,2)="Empresa Industrial y Comercial",VLOOKUP($B$8,LISTAS!$F$3:$G$100,2)="Subred"),LISTAS!AO21,IF(OR(VLOOKUP($B$8,LISTAS!$F$3:$G$100,2)="Mixta",VLOOKUP($B$8,LISTAS!$F$3:$G$100,2)="Menor 50%"),"No Aplica",LISTAS!AH21)))</f>
        <v>O1211</v>
      </c>
      <c r="B35" s="20" t="str">
        <f>IF(A35="Sin Recaudo","Sin Recaudo",IF(A35="No Aplica","No Aplica",IF(A35=LISTAS!AH20,LISTAS!AI20,LISTAS!AP21)))</f>
        <v>Diferencial cambiario</v>
      </c>
      <c r="C35" s="331">
        <v>1200000</v>
      </c>
      <c r="D35" s="332">
        <f t="shared" si="1"/>
        <v>1.2E-4</v>
      </c>
      <c r="E35" s="331">
        <v>14000</v>
      </c>
      <c r="F35" s="332">
        <f t="shared" si="2"/>
        <v>1.1666666666666666E-6</v>
      </c>
      <c r="G35" s="333">
        <f t="shared" si="3"/>
        <v>-1186000</v>
      </c>
      <c r="H35" s="332">
        <f t="shared" si="4"/>
        <v>-84.714285714285708</v>
      </c>
      <c r="I35" s="328"/>
      <c r="J35" s="331">
        <v>14000</v>
      </c>
      <c r="K35" s="331"/>
      <c r="L35" s="331"/>
      <c r="M35" s="333">
        <f t="shared" si="5"/>
        <v>14000</v>
      </c>
      <c r="N35" s="331">
        <v>14000</v>
      </c>
      <c r="O35" s="446">
        <f t="shared" si="6"/>
        <v>1</v>
      </c>
      <c r="P35" s="446"/>
      <c r="Q35" s="446"/>
      <c r="R35" s="373"/>
      <c r="S35" s="329"/>
      <c r="AT35" s="380" t="str">
        <f t="shared" si="0"/>
        <v>O1211-Diferencial cambiario</v>
      </c>
    </row>
    <row r="36" spans="1:46" x14ac:dyDescent="0.25">
      <c r="A36" s="330" t="str">
        <f>IF(VLOOKUP($B$8,LISTAS!$F$3:$I$100,4)="X","Sin Recaudo",IF(OR(VLOOKUP($B$8,LISTAS!$F$3:$G$100,2)="Empresa Industrial y Comercial",VLOOKUP($B$8,LISTAS!$F$3:$G$100,2)="Subred"),LISTAS!AO22,IF(OR(VLOOKUP($B$8,LISTAS!$F$3:$G$100,2)="Mixta",VLOOKUP($B$8,LISTAS!$F$3:$G$100,2)="Menor 50%"),"No Aplica",LISTAS!AH22)))</f>
        <v>O1212</v>
      </c>
      <c r="B36" s="20" t="str">
        <f>IF(A36="Sin Recaudo","Sin Recaudo",IF(A36="No Aplica","No Aplica",IF(A36=LISTAS!AH21,LISTAS!AI21,LISTAS!AP22)))</f>
        <v>Retiros FONPET</v>
      </c>
      <c r="C36" s="331">
        <v>1200000</v>
      </c>
      <c r="D36" s="332">
        <f t="shared" si="1"/>
        <v>1.2E-4</v>
      </c>
      <c r="E36" s="331">
        <v>14000</v>
      </c>
      <c r="F36" s="332">
        <f t="shared" si="2"/>
        <v>1.1666666666666666E-6</v>
      </c>
      <c r="G36" s="333">
        <f t="shared" si="3"/>
        <v>-1186000</v>
      </c>
      <c r="H36" s="332">
        <f t="shared" si="4"/>
        <v>-84.714285714285708</v>
      </c>
      <c r="I36" s="328"/>
      <c r="J36" s="331">
        <v>14000</v>
      </c>
      <c r="K36" s="331"/>
      <c r="L36" s="331"/>
      <c r="M36" s="333">
        <f t="shared" si="5"/>
        <v>14000</v>
      </c>
      <c r="N36" s="331">
        <v>14000</v>
      </c>
      <c r="O36" s="446">
        <f t="shared" si="6"/>
        <v>1</v>
      </c>
      <c r="P36" s="446"/>
      <c r="Q36" s="446"/>
      <c r="R36" s="373"/>
      <c r="S36" s="329"/>
      <c r="AT36" s="380" t="str">
        <f t="shared" si="0"/>
        <v>O1212-Retiros FONPET</v>
      </c>
    </row>
    <row r="37" spans="1:46" ht="28.5" x14ac:dyDescent="0.25">
      <c r="A37" s="330" t="str">
        <f>IF(VLOOKUP($B$8,LISTAS!$F$3:$I$100,4)="X","Sin Recaudo",IF(OR(VLOOKUP($B$8,LISTAS!$F$3:$G$100,2)="Empresa Industrial y Comercial",VLOOKUP($B$8,LISTAS!$F$3:$G$100,2)="Subred"),LISTAS!AO23,IF(OR(VLOOKUP($B$8,LISTAS!$F$3:$G$100,2)="Mixta",VLOOKUP($B$8,LISTAS!$F$3:$G$100,2)="Menor 50%"),"No Aplica",LISTAS!AH23)))</f>
        <v>O1213</v>
      </c>
      <c r="B37" s="20" t="str">
        <f>IF(A37="Sin Recaudo","Sin Recaudo",IF(A37="No Aplica","No Aplica",IF(A37=LISTAS!AH22,LISTAS!AI22,LISTAS!AP23)))</f>
        <v>Reintegros y otros RECURSOS no apropiados</v>
      </c>
      <c r="C37" s="331">
        <v>1200000</v>
      </c>
      <c r="D37" s="332">
        <f t="shared" si="1"/>
        <v>1.2E-4</v>
      </c>
      <c r="E37" s="331">
        <v>14000</v>
      </c>
      <c r="F37" s="332">
        <f t="shared" si="2"/>
        <v>1.1666666666666666E-6</v>
      </c>
      <c r="G37" s="333">
        <f t="shared" si="3"/>
        <v>-1186000</v>
      </c>
      <c r="H37" s="332">
        <f t="shared" si="4"/>
        <v>-84.714285714285708</v>
      </c>
      <c r="I37" s="328"/>
      <c r="J37" s="331">
        <v>14000</v>
      </c>
      <c r="K37" s="331"/>
      <c r="L37" s="331"/>
      <c r="M37" s="333">
        <f t="shared" si="5"/>
        <v>14000</v>
      </c>
      <c r="N37" s="331">
        <v>14000</v>
      </c>
      <c r="O37" s="446">
        <f t="shared" si="6"/>
        <v>1</v>
      </c>
      <c r="P37" s="446"/>
      <c r="Q37" s="446"/>
      <c r="R37" s="373"/>
      <c r="S37" s="329"/>
      <c r="AT37" s="380" t="str">
        <f t="shared" si="0"/>
        <v>O1213-Reintegros y otros RECURSOS no apropiados</v>
      </c>
    </row>
    <row r="38" spans="1:46" ht="15" x14ac:dyDescent="0.25">
      <c r="A38" s="323" t="str">
        <f>IF(VLOOKUP($B$8,LISTAS!$F$3:$I$100,4)="X","Sin Recaudo",IF(OR(VLOOKUP($B$8,LISTAS!$F$3:$G$100,2)="Empresa Industrial y Comercial",VLOOKUP($B$8,LISTAS!$F$3:$G$100,2)="Subred"),LISTAS!AO24,IF(OR(VLOOKUP($B$8,LISTAS!$F$3:$G$100,2)="Mixta",VLOOKUP($B$8,LISTAS!$F$3:$G$100,2)="Menor 50%"),"No Aplica",LISTAS!AH24)))</f>
        <v>O122</v>
      </c>
      <c r="B38" s="324" t="str">
        <f>IF(A38="Sin Recaudo","Sin Recaudo",IF(A38="No Aplica","No Aplica",IF(A38=LISTAS!AH23,LISTAS!AI23,LISTAS!AP24)))</f>
        <v>Transferencias</v>
      </c>
      <c r="C38" s="325">
        <v>1200000</v>
      </c>
      <c r="D38" s="326">
        <f t="shared" si="1"/>
        <v>1.2E-4</v>
      </c>
      <c r="E38" s="331">
        <v>14000</v>
      </c>
      <c r="F38" s="332">
        <f t="shared" si="2"/>
        <v>1.1666666666666666E-6</v>
      </c>
      <c r="G38" s="333">
        <f t="shared" si="3"/>
        <v>-1186000</v>
      </c>
      <c r="H38" s="332">
        <f t="shared" si="4"/>
        <v>-84.714285714285708</v>
      </c>
      <c r="I38" s="328"/>
      <c r="J38" s="331">
        <v>14000</v>
      </c>
      <c r="K38" s="331"/>
      <c r="L38" s="331"/>
      <c r="M38" s="333">
        <f t="shared" si="5"/>
        <v>14000</v>
      </c>
      <c r="N38" s="331">
        <v>14000</v>
      </c>
      <c r="O38" s="446">
        <f t="shared" si="6"/>
        <v>1</v>
      </c>
      <c r="P38" s="446"/>
      <c r="Q38" s="446"/>
      <c r="R38" s="373"/>
      <c r="S38" s="329"/>
      <c r="AT38" s="380" t="str">
        <f t="shared" si="0"/>
        <v>O122-Transferencias</v>
      </c>
    </row>
    <row r="39" spans="1:46" x14ac:dyDescent="0.25">
      <c r="A39" s="330" t="str">
        <f>IF(VLOOKUP($B$8,LISTAS!$F$3:$I$100,4)="X","Sin Recaudo",IF(OR(VLOOKUP($B$8,LISTAS!$F$3:$G$100,2)="Empresa Industrial y Comercial",VLOOKUP($B$8,LISTAS!$F$3:$G$100,2)="Subred"),LISTAS!AO25,IF(OR(VLOOKUP($B$8,LISTAS!$F$3:$G$100,2)="Mixta",VLOOKUP($B$8,LISTAS!$F$3:$G$100,2)="Menor 50%"),"No Aplica",LISTAS!AH25)))</f>
        <v>O12201</v>
      </c>
      <c r="B39" s="20" t="str">
        <f>IF(A39="Sin Recaudo","Sin Recaudo",IF(A39="No Aplica","No Aplica",IF(A39=LISTAS!AH24,LISTAS!AI24,LISTAS!AP25)))</f>
        <v>Transferencias corrientes nacionales</v>
      </c>
      <c r="C39" s="331">
        <v>1200000</v>
      </c>
      <c r="D39" s="332">
        <f t="shared" si="1"/>
        <v>1.2E-4</v>
      </c>
      <c r="E39" s="331">
        <v>14001</v>
      </c>
      <c r="F39" s="332">
        <f t="shared" si="2"/>
        <v>1.1667500000000001E-6</v>
      </c>
      <c r="G39" s="333">
        <f t="shared" si="3"/>
        <v>-1185999</v>
      </c>
      <c r="H39" s="332">
        <f t="shared" si="4"/>
        <v>-84.708163702592671</v>
      </c>
      <c r="I39" s="328"/>
      <c r="J39" s="331">
        <v>14001</v>
      </c>
      <c r="K39" s="331"/>
      <c r="L39" s="331"/>
      <c r="M39" s="333">
        <f t="shared" si="5"/>
        <v>14001</v>
      </c>
      <c r="N39" s="331">
        <v>14001</v>
      </c>
      <c r="O39" s="446">
        <f t="shared" si="6"/>
        <v>1</v>
      </c>
      <c r="P39" s="446"/>
      <c r="Q39" s="446"/>
      <c r="R39" s="373"/>
      <c r="S39" s="329"/>
      <c r="AT39" s="380" t="str">
        <f t="shared" si="0"/>
        <v>O12201-Transferencias corrientes nacionales</v>
      </c>
    </row>
    <row r="40" spans="1:46" x14ac:dyDescent="0.25">
      <c r="A40" s="330" t="str">
        <f>IF(VLOOKUP($B$8,LISTAS!$F$3:$I$100,4)="X","Sin Recaudo",IF(OR(VLOOKUP($B$8,LISTAS!$F$3:$G$100,2)="Empresa Industrial y Comercial",VLOOKUP($B$8,LISTAS!$F$3:$G$100,2)="Subred"),LISTAS!AO26,IF(OR(VLOOKUP($B$8,LISTAS!$F$3:$G$100,2)="Mixta",VLOOKUP($B$8,LISTAS!$F$3:$G$100,2)="Menor 50%"),"No Aplica",LISTAS!AH26)))</f>
        <v>O12202</v>
      </c>
      <c r="B40" s="20" t="str">
        <f>IF(A40="Sin Recaudo","Sin Recaudo",IF(A40="No Aplica","No Aplica",IF(A40=LISTAS!AH25,LISTAS!AI25,LISTAS!AP26)))</f>
        <v>Departamentales</v>
      </c>
      <c r="C40" s="331">
        <v>1200000</v>
      </c>
      <c r="D40" s="332">
        <f t="shared" si="1"/>
        <v>1.2E-4</v>
      </c>
      <c r="E40" s="331">
        <v>14002</v>
      </c>
      <c r="F40" s="332">
        <f t="shared" si="2"/>
        <v>1.1668333333333334E-6</v>
      </c>
      <c r="G40" s="333">
        <f t="shared" si="3"/>
        <v>-1185998</v>
      </c>
      <c r="H40" s="332">
        <f t="shared" si="4"/>
        <v>-84.70204256534781</v>
      </c>
      <c r="I40" s="328"/>
      <c r="J40" s="331">
        <v>14002</v>
      </c>
      <c r="K40" s="331"/>
      <c r="L40" s="331"/>
      <c r="M40" s="333">
        <f t="shared" si="5"/>
        <v>14002</v>
      </c>
      <c r="N40" s="331">
        <v>14002</v>
      </c>
      <c r="O40" s="446">
        <f t="shared" si="6"/>
        <v>1</v>
      </c>
      <c r="P40" s="446"/>
      <c r="Q40" s="446"/>
      <c r="R40" s="373"/>
      <c r="S40" s="329"/>
      <c r="AT40" s="380" t="str">
        <f t="shared" si="0"/>
        <v>O12202-Departamentales</v>
      </c>
    </row>
    <row r="41" spans="1:46" x14ac:dyDescent="0.25">
      <c r="A41" s="330" t="str">
        <f>IF(VLOOKUP($B$8,LISTAS!$F$3:$I$100,4)="X","Sin Recaudo",IF(OR(VLOOKUP($B$8,LISTAS!$F$3:$G$100,2)="Empresa Industrial y Comercial",VLOOKUP($B$8,LISTAS!$F$3:$G$100,2)="Subred"),LISTAS!AO27,IF(OR(VLOOKUP($B$8,LISTAS!$F$3:$G$100,2)="Mixta",VLOOKUP($B$8,LISTAS!$F$3:$G$100,2)="Menor 50%"),"No Aplica",LISTAS!AH27)))</f>
        <v>O12203</v>
      </c>
      <c r="B41" s="20" t="str">
        <f>IF(A41="Sin Recaudo","Sin Recaudo",IF(A41="No Aplica","No Aplica",IF(A41=LISTAS!AH26,LISTAS!AI26,LISTAS!AP27)))</f>
        <v>Distritales</v>
      </c>
      <c r="C41" s="331">
        <v>1200000</v>
      </c>
      <c r="D41" s="332">
        <f t="shared" si="1"/>
        <v>1.2E-4</v>
      </c>
      <c r="E41" s="331">
        <v>14003</v>
      </c>
      <c r="F41" s="332">
        <f t="shared" si="2"/>
        <v>1.1669166666666667E-6</v>
      </c>
      <c r="G41" s="333">
        <f t="shared" si="3"/>
        <v>-1185997</v>
      </c>
      <c r="H41" s="332">
        <f t="shared" si="4"/>
        <v>-84.695922302363783</v>
      </c>
      <c r="I41" s="328"/>
      <c r="J41" s="331">
        <v>14003</v>
      </c>
      <c r="K41" s="331"/>
      <c r="L41" s="331"/>
      <c r="M41" s="333">
        <f t="shared" si="5"/>
        <v>14003</v>
      </c>
      <c r="N41" s="331">
        <v>14003</v>
      </c>
      <c r="O41" s="446">
        <f t="shared" si="6"/>
        <v>1</v>
      </c>
      <c r="P41" s="446"/>
      <c r="Q41" s="446"/>
      <c r="R41" s="373"/>
      <c r="S41" s="329"/>
      <c r="AT41" s="380" t="str">
        <f t="shared" si="0"/>
        <v>O12203-Distritales</v>
      </c>
    </row>
    <row r="42" spans="1:46" x14ac:dyDescent="0.25">
      <c r="A42" s="330" t="str">
        <f>IF(VLOOKUP($B$8,LISTAS!$F$3:$I$100,4)="X","Sin Recaudo",IF(OR(VLOOKUP($B$8,LISTAS!$F$3:$G$100,2)="Empresa Industrial y Comercial",VLOOKUP($B$8,LISTAS!$F$3:$G$100,2)="Subred"),LISTAS!AO28,IF(OR(VLOOKUP($B$8,LISTAS!$F$3:$G$100,2)="Mixta",VLOOKUP($B$8,LISTAS!$F$3:$G$100,2)="Menor 50%"),"No Aplica",LISTAS!AH28)))</f>
        <v>O12204</v>
      </c>
      <c r="B42" s="20" t="str">
        <f>IF(A42="Sin Recaudo","Sin Recaudo",IF(A42="No Aplica","No Aplica",IF(A42=LISTAS!AH27,LISTAS!AI27,LISTAS!AP28)))</f>
        <v>Otras Transferencias</v>
      </c>
      <c r="C42" s="331">
        <v>1200000</v>
      </c>
      <c r="D42" s="332">
        <f t="shared" si="1"/>
        <v>1.2E-4</v>
      </c>
      <c r="E42" s="331">
        <v>14004</v>
      </c>
      <c r="F42" s="332">
        <f t="shared" si="2"/>
        <v>1.167E-6</v>
      </c>
      <c r="G42" s="333">
        <f t="shared" si="3"/>
        <v>-1185996</v>
      </c>
      <c r="H42" s="332">
        <f t="shared" si="4"/>
        <v>-84.689802913453306</v>
      </c>
      <c r="I42" s="328"/>
      <c r="J42" s="331">
        <v>14004</v>
      </c>
      <c r="K42" s="331"/>
      <c r="L42" s="331"/>
      <c r="M42" s="333">
        <f t="shared" si="5"/>
        <v>14004</v>
      </c>
      <c r="N42" s="331">
        <v>14004</v>
      </c>
      <c r="O42" s="446">
        <f t="shared" si="6"/>
        <v>1</v>
      </c>
      <c r="P42" s="446"/>
      <c r="Q42" s="446"/>
      <c r="R42" s="373"/>
      <c r="S42" s="329"/>
      <c r="AT42" s="380" t="str">
        <f t="shared" si="0"/>
        <v>O12204-Otras Transferencias</v>
      </c>
    </row>
    <row r="43" spans="1:46" ht="15" x14ac:dyDescent="0.25">
      <c r="A43" s="323" t="str">
        <f>IF(VLOOKUP($B$8,LISTAS!$F$3:$I$100,4)="X","Sin Recaudo",IF(OR(VLOOKUP($B$8,LISTAS!$F$3:$G$100,2)="Empresa Industrial y Comercial",VLOOKUP($B$8,LISTAS!$F$3:$G$100,2)="Subred"),LISTAS!AO29,IF(OR(VLOOKUP($B$8,LISTAS!$F$3:$G$100,2)="Mixta",VLOOKUP($B$8,LISTAS!$F$3:$G$100,2)="Menor 50%"),"No Aplica",LISTAS!AH29)))</f>
        <v>O15</v>
      </c>
      <c r="B43" s="324" t="str">
        <f>IF(A43="Sin Recaudo","Sin Recaudo",IF(A43="No Aplica","No Aplica",IF(A43=LISTAS!AH28,LISTAS!AI28,LISTAS!AP29)))</f>
        <v>Transferencias Administración Central</v>
      </c>
      <c r="C43" s="325">
        <v>1200000</v>
      </c>
      <c r="D43" s="326">
        <f t="shared" si="1"/>
        <v>1.2E-4</v>
      </c>
      <c r="E43" s="325">
        <v>14005</v>
      </c>
      <c r="F43" s="326">
        <f t="shared" si="2"/>
        <v>1.1670833333333333E-6</v>
      </c>
      <c r="G43" s="327">
        <f t="shared" si="3"/>
        <v>-1185995</v>
      </c>
      <c r="H43" s="326">
        <f t="shared" si="4"/>
        <v>-84.683684398429136</v>
      </c>
      <c r="I43" s="328"/>
      <c r="J43" s="331">
        <v>14005</v>
      </c>
      <c r="K43" s="331"/>
      <c r="L43" s="331"/>
      <c r="M43" s="333">
        <f t="shared" si="5"/>
        <v>14005</v>
      </c>
      <c r="N43" s="331">
        <v>14005</v>
      </c>
      <c r="O43" s="446">
        <f t="shared" si="6"/>
        <v>1</v>
      </c>
      <c r="P43" s="446"/>
      <c r="Q43" s="446"/>
      <c r="R43" s="373"/>
      <c r="S43" s="329"/>
      <c r="AT43" s="380" t="str">
        <f t="shared" si="0"/>
        <v>O15-Transferencias Administración Central</v>
      </c>
    </row>
    <row r="44" spans="1:46" ht="15.75" thickBot="1" x14ac:dyDescent="0.3">
      <c r="A44" s="335"/>
      <c r="B44" s="336"/>
      <c r="C44" s="337"/>
      <c r="D44" s="338"/>
      <c r="E44" s="337"/>
      <c r="F44" s="338"/>
      <c r="G44" s="339"/>
      <c r="H44" s="338"/>
      <c r="I44" s="340"/>
      <c r="J44" s="337"/>
      <c r="K44" s="337"/>
      <c r="L44" s="337"/>
      <c r="M44" s="339"/>
      <c r="N44" s="337"/>
      <c r="O44" s="447" t="str">
        <f t="shared" si="6"/>
        <v/>
      </c>
      <c r="P44" s="448"/>
      <c r="Q44" s="449"/>
      <c r="R44" s="275"/>
      <c r="S44" s="341"/>
      <c r="AT44" s="380" t="str">
        <f t="shared" si="0"/>
        <v>-</v>
      </c>
    </row>
    <row r="45" spans="1:46" ht="15" x14ac:dyDescent="0.25">
      <c r="A45" s="435" t="s">
        <v>315</v>
      </c>
      <c r="B45" s="436"/>
      <c r="C45" s="439" t="s">
        <v>409</v>
      </c>
      <c r="D45" s="439"/>
      <c r="E45" s="439"/>
      <c r="F45" s="439"/>
      <c r="G45" s="439"/>
      <c r="H45" s="439"/>
      <c r="I45" s="439"/>
      <c r="J45" s="441" t="s">
        <v>410</v>
      </c>
      <c r="K45" s="439"/>
      <c r="L45" s="439"/>
      <c r="M45" s="439"/>
      <c r="N45" s="439"/>
      <c r="O45" s="439"/>
      <c r="P45" s="439"/>
      <c r="Q45" s="439"/>
      <c r="R45" s="439"/>
      <c r="S45" s="321"/>
      <c r="AT45" s="380"/>
    </row>
    <row r="46" spans="1:46" ht="15" thickBot="1" x14ac:dyDescent="0.3">
      <c r="A46" s="437"/>
      <c r="B46" s="438"/>
      <c r="C46" s="440"/>
      <c r="D46" s="440"/>
      <c r="E46" s="440"/>
      <c r="F46" s="440"/>
      <c r="G46" s="440"/>
      <c r="H46" s="440"/>
      <c r="I46" s="440"/>
      <c r="J46" s="442"/>
      <c r="K46" s="440"/>
      <c r="L46" s="440"/>
      <c r="M46" s="440"/>
      <c r="N46" s="440"/>
      <c r="O46" s="440"/>
      <c r="P46" s="440"/>
      <c r="Q46" s="440"/>
      <c r="R46" s="440"/>
      <c r="S46" s="322" t="s">
        <v>311</v>
      </c>
      <c r="AT46" s="380"/>
    </row>
    <row r="47" spans="1:46" ht="36.75" customHeight="1" x14ac:dyDescent="0.25">
      <c r="A47" s="443" t="s">
        <v>266</v>
      </c>
      <c r="B47" s="431" t="s">
        <v>573</v>
      </c>
      <c r="C47" s="443" t="s">
        <v>538</v>
      </c>
      <c r="D47" s="433" t="s">
        <v>539</v>
      </c>
      <c r="E47" s="433" t="s">
        <v>548</v>
      </c>
      <c r="F47" s="433" t="s">
        <v>549</v>
      </c>
      <c r="G47" s="433" t="s">
        <v>321</v>
      </c>
      <c r="H47" s="433" t="s">
        <v>312</v>
      </c>
      <c r="I47" s="431" t="s">
        <v>313</v>
      </c>
      <c r="J47" s="443" t="s">
        <v>405</v>
      </c>
      <c r="K47" s="433" t="s">
        <v>406</v>
      </c>
      <c r="L47" s="433"/>
      <c r="M47" s="433" t="s">
        <v>550</v>
      </c>
      <c r="N47" s="433" t="s">
        <v>551</v>
      </c>
      <c r="O47" s="433" t="s">
        <v>552</v>
      </c>
      <c r="P47" s="433" t="s">
        <v>553</v>
      </c>
      <c r="Q47" s="433" t="s">
        <v>554</v>
      </c>
      <c r="R47" s="433" t="s">
        <v>323</v>
      </c>
      <c r="S47" s="431" t="s">
        <v>322</v>
      </c>
      <c r="AT47" s="380"/>
    </row>
    <row r="48" spans="1:46" ht="39.75" customHeight="1" thickBot="1" x14ac:dyDescent="0.3">
      <c r="A48" s="444"/>
      <c r="B48" s="432"/>
      <c r="C48" s="444"/>
      <c r="D48" s="434"/>
      <c r="E48" s="434"/>
      <c r="F48" s="434"/>
      <c r="G48" s="434"/>
      <c r="H48" s="434"/>
      <c r="I48" s="432"/>
      <c r="J48" s="444"/>
      <c r="K48" s="360" t="s">
        <v>407</v>
      </c>
      <c r="L48" s="360" t="s">
        <v>408</v>
      </c>
      <c r="M48" s="434"/>
      <c r="N48" s="434"/>
      <c r="O48" s="434"/>
      <c r="P48" s="434"/>
      <c r="Q48" s="434"/>
      <c r="R48" s="434"/>
      <c r="S48" s="432"/>
      <c r="AT48" s="380"/>
    </row>
    <row r="49" spans="1:46" ht="15" x14ac:dyDescent="0.25">
      <c r="A49" s="342" t="str">
        <f>IF(OR(VLOOKUP($B$8,LISTAS!$F$3:$G$100,2)="Empresa Industrial y Comercial",VLOOKUP($B$8,LISTAS!$F$3:$G$100,2)="Subred"),LISTAS!AO33,IF(OR(VLOOKUP($B$8,LISTAS!$F$3:$G$100,2)="Mixta",VLOOKUP($B$8,LISTAS!$F$3:$G$100,2)="Menor 50%"),"No Aplica",LISTAS!AH33))</f>
        <v>O2</v>
      </c>
      <c r="B49" s="343" t="str">
        <f>IF(A49="No Aplica","No Aplica",IF(A49=LISTAS!AH33,LISTAS!AI33,LISTAS!AP33))</f>
        <v>GASTOS</v>
      </c>
      <c r="C49" s="344">
        <v>10000000000</v>
      </c>
      <c r="D49" s="345">
        <f>IF(C49="","",C49/$C$49)</f>
        <v>1</v>
      </c>
      <c r="E49" s="344">
        <v>12000000000</v>
      </c>
      <c r="F49" s="345">
        <f>IF(E49="","",E49/$E$49)</f>
        <v>1</v>
      </c>
      <c r="G49" s="346">
        <f t="shared" ref="G49" si="7">IF(AND(C49="",E49=""),"",E49-C49)</f>
        <v>2000000000</v>
      </c>
      <c r="H49" s="345">
        <f t="shared" ref="H49" si="8">IF(E49="",G49/C49,G49/E49)</f>
        <v>0.16666666666666666</v>
      </c>
      <c r="I49" s="254"/>
      <c r="J49" s="344">
        <v>12000000000</v>
      </c>
      <c r="K49" s="344"/>
      <c r="L49" s="344"/>
      <c r="M49" s="346">
        <f t="shared" ref="M49:M83" si="9">IF(J49="","",J49-K49+L49)</f>
        <v>12000000000</v>
      </c>
      <c r="N49" s="344">
        <v>133000000000</v>
      </c>
      <c r="O49" s="345">
        <f>IF(OR(E49="",N49=""),"",N49/E49)</f>
        <v>11.083333333333334</v>
      </c>
      <c r="P49" s="344">
        <v>12000000000</v>
      </c>
      <c r="Q49" s="345">
        <f>IF(OR(E49="",P49=""),"",P49/E49)</f>
        <v>1</v>
      </c>
      <c r="R49" s="276"/>
      <c r="S49" s="347"/>
      <c r="AT49" s="380" t="str">
        <f t="shared" ref="AT49:AT82" si="10">CONCATENATE(A49,"-",B49)</f>
        <v>O2-GASTOS</v>
      </c>
    </row>
    <row r="50" spans="1:46" ht="15" x14ac:dyDescent="0.25">
      <c r="A50" s="348" t="str">
        <f>IF(OR(VLOOKUP($B$8,LISTAS!$F$3:$G$100,2)="Empresa Industrial y Comercial",VLOOKUP($B$8,LISTAS!$F$3:$G$100,2)="Subred"),LISTAS!AO34,IF(OR(VLOOKUP($B$8,LISTAS!$F$3:$G$100,2)="Mixta",VLOOKUP($B$8,LISTAS!$F$3:$G$100,2)="Menor 50%"),"No Aplica",LISTAS!AH34))</f>
        <v>O21</v>
      </c>
      <c r="B50" s="137" t="str">
        <f>IF(A50="No Aplica","No Aplica",IF(A50=LISTAS!AH34,LISTAS!AI34,LISTAS!AP34))</f>
        <v>GASTOS DE FUNCIONAMIENTO</v>
      </c>
      <c r="C50" s="325">
        <v>20000000</v>
      </c>
      <c r="D50" s="326">
        <f t="shared" ref="D50:D83" si="11">IF(C50="","",C50/$C$49)</f>
        <v>2E-3</v>
      </c>
      <c r="E50" s="325">
        <v>200000</v>
      </c>
      <c r="F50" s="326">
        <f t="shared" ref="F50:F83" si="12">IF(E50="","",E50/$E$49)</f>
        <v>1.6666666666666667E-5</v>
      </c>
      <c r="G50" s="327">
        <f t="shared" ref="G50:G83" si="13">IF(AND(C50="",E50=""),"",E50-C50)</f>
        <v>-19800000</v>
      </c>
      <c r="H50" s="326">
        <f t="shared" ref="H50:H83" si="14">IF(E50="",G50/C50,G50/E50)</f>
        <v>-99</v>
      </c>
      <c r="I50" s="328"/>
      <c r="J50" s="325">
        <v>200000</v>
      </c>
      <c r="K50" s="325"/>
      <c r="L50" s="325"/>
      <c r="M50" s="327">
        <f t="shared" si="9"/>
        <v>200000</v>
      </c>
      <c r="N50" s="325">
        <v>200000</v>
      </c>
      <c r="O50" s="326">
        <f t="shared" ref="O50:O83" si="15">IF(OR(E50="",N50=""),"",N50/E50)</f>
        <v>1</v>
      </c>
      <c r="P50" s="325">
        <v>200000</v>
      </c>
      <c r="Q50" s="326">
        <f t="shared" ref="Q50:Q83" si="16">IF(OR(E50="",P50=""),"",P50/E50)</f>
        <v>1</v>
      </c>
      <c r="R50" s="65"/>
      <c r="S50" s="329"/>
      <c r="AT50" s="380" t="str">
        <f t="shared" si="10"/>
        <v>O21-GASTOS DE FUNCIONAMIENTO</v>
      </c>
    </row>
    <row r="51" spans="1:46" x14ac:dyDescent="0.25">
      <c r="A51" s="349" t="str">
        <f>IF(OR(VLOOKUP($B$8,LISTAS!$F$3:$G$100,2)="Empresa Industrial y Comercial",VLOOKUP($B$8,LISTAS!$F$3:$G$100,2)="Subred"),LISTAS!AO35,IF(OR(VLOOKUP($B$8,LISTAS!$F$3:$G$100,2)="Mixta",VLOOKUP($B$8,LISTAS!$F$3:$G$100,2)="Menor 50%"),"No Aplica",LISTAS!AH35))</f>
        <v>O211</v>
      </c>
      <c r="B51" s="350" t="str">
        <f>IF(A51="No Aplica","No Aplica",IF(A51=LISTAS!AH35,LISTAS!AI35,LISTAS!AP35))</f>
        <v>Gasto de personal</v>
      </c>
      <c r="C51" s="331">
        <v>3000000</v>
      </c>
      <c r="D51" s="332">
        <f t="shared" si="11"/>
        <v>2.9999999999999997E-4</v>
      </c>
      <c r="E51" s="331">
        <v>5000000</v>
      </c>
      <c r="F51" s="332">
        <f t="shared" si="12"/>
        <v>4.1666666666666669E-4</v>
      </c>
      <c r="G51" s="333">
        <f t="shared" si="13"/>
        <v>2000000</v>
      </c>
      <c r="H51" s="332">
        <f t="shared" si="14"/>
        <v>0.4</v>
      </c>
      <c r="I51" s="328"/>
      <c r="J51" s="331">
        <v>5000000</v>
      </c>
      <c r="K51" s="331"/>
      <c r="L51" s="331"/>
      <c r="M51" s="333">
        <f t="shared" si="9"/>
        <v>5000000</v>
      </c>
      <c r="N51" s="331">
        <v>5000000</v>
      </c>
      <c r="O51" s="332">
        <f t="shared" si="15"/>
        <v>1</v>
      </c>
      <c r="P51" s="331">
        <v>5000000</v>
      </c>
      <c r="Q51" s="332">
        <f t="shared" si="16"/>
        <v>1</v>
      </c>
      <c r="R51" s="373"/>
      <c r="S51" s="329"/>
      <c r="AT51" s="380" t="str">
        <f t="shared" si="10"/>
        <v>O211-Gasto de personal</v>
      </c>
    </row>
    <row r="52" spans="1:46" x14ac:dyDescent="0.25">
      <c r="A52" s="349" t="str">
        <f>IF(OR(VLOOKUP($B$8,LISTAS!$F$3:$G$100,2)="Empresa Industrial y Comercial",VLOOKUP($B$8,LISTAS!$F$3:$G$100,2)="Subred"),LISTAS!AO36,IF(OR(VLOOKUP($B$8,LISTAS!$F$3:$G$100,2)="Mixta",VLOOKUP($B$8,LISTAS!$F$3:$G$100,2)="Menor 50%"),"No Aplica",LISTAS!AH36))</f>
        <v>O21101</v>
      </c>
      <c r="B52" s="350" t="str">
        <f>IF(A52="No Aplica","No Aplica",IF(A52=LISTAS!AH36,LISTAS!AI36,LISTAS!AP36))</f>
        <v>Planta de Personal permanente</v>
      </c>
      <c r="C52" s="331">
        <v>120000</v>
      </c>
      <c r="D52" s="332">
        <f t="shared" si="11"/>
        <v>1.2E-5</v>
      </c>
      <c r="E52" s="331">
        <v>120000</v>
      </c>
      <c r="F52" s="332">
        <f t="shared" si="12"/>
        <v>1.0000000000000001E-5</v>
      </c>
      <c r="G52" s="333">
        <f t="shared" si="13"/>
        <v>0</v>
      </c>
      <c r="H52" s="332">
        <f t="shared" si="14"/>
        <v>0</v>
      </c>
      <c r="I52" s="328"/>
      <c r="J52" s="331">
        <v>120000</v>
      </c>
      <c r="K52" s="331"/>
      <c r="L52" s="331"/>
      <c r="M52" s="333">
        <f t="shared" si="9"/>
        <v>120000</v>
      </c>
      <c r="N52" s="331">
        <v>120000</v>
      </c>
      <c r="O52" s="332">
        <f t="shared" si="15"/>
        <v>1</v>
      </c>
      <c r="P52" s="331">
        <v>120000</v>
      </c>
      <c r="Q52" s="332">
        <f t="shared" si="16"/>
        <v>1</v>
      </c>
      <c r="R52" s="373"/>
      <c r="S52" s="329"/>
      <c r="AT52" s="380" t="str">
        <f t="shared" si="10"/>
        <v>O21101-Planta de Personal permanente</v>
      </c>
    </row>
    <row r="53" spans="1:46" ht="28.5" x14ac:dyDescent="0.25">
      <c r="A53" s="349" t="str">
        <f>IF(OR(VLOOKUP($B$8,LISTAS!$F$3:$G$100,2)="Empresa Industrial y Comercial",VLOOKUP($B$8,LISTAS!$F$3:$G$100,2)="Subred"),LISTAS!AO37,IF(OR(VLOOKUP($B$8,LISTAS!$F$3:$G$100,2)="Mixta",VLOOKUP($B$8,LISTAS!$F$3:$G$100,2)="Menor 50%"),"No Aplica",LISTAS!AH37))</f>
        <v>O21102</v>
      </c>
      <c r="B53" s="350" t="str">
        <f>IF(A53="No Aplica","No Aplica",IF(A53=LISTAS!AH37,LISTAS!AI37,LISTAS!AP37))</f>
        <v>Personal supernumerario y Planta temporal</v>
      </c>
      <c r="C53" s="331">
        <v>2000000</v>
      </c>
      <c r="D53" s="332">
        <f t="shared" si="11"/>
        <v>2.0000000000000001E-4</v>
      </c>
      <c r="E53" s="331">
        <v>2000000</v>
      </c>
      <c r="F53" s="332">
        <f t="shared" si="12"/>
        <v>1.6666666666666666E-4</v>
      </c>
      <c r="G53" s="333">
        <f t="shared" si="13"/>
        <v>0</v>
      </c>
      <c r="H53" s="332">
        <f t="shared" si="14"/>
        <v>0</v>
      </c>
      <c r="I53" s="328"/>
      <c r="J53" s="331">
        <v>2000000</v>
      </c>
      <c r="K53" s="331"/>
      <c r="L53" s="331"/>
      <c r="M53" s="333">
        <f t="shared" si="9"/>
        <v>2000000</v>
      </c>
      <c r="N53" s="331">
        <v>2000000</v>
      </c>
      <c r="O53" s="332">
        <f t="shared" si="15"/>
        <v>1</v>
      </c>
      <c r="P53" s="331">
        <v>2000000</v>
      </c>
      <c r="Q53" s="332">
        <f t="shared" si="16"/>
        <v>1</v>
      </c>
      <c r="R53" s="373"/>
      <c r="S53" s="329"/>
      <c r="AT53" s="380" t="str">
        <f t="shared" si="10"/>
        <v>O21102-Personal supernumerario y Planta temporal</v>
      </c>
    </row>
    <row r="54" spans="1:46" x14ac:dyDescent="0.25">
      <c r="A54" s="349" t="str">
        <f>IF(OR(VLOOKUP($B$8,LISTAS!$F$3:$G$100,2)="Empresa Industrial y Comercial",VLOOKUP($B$8,LISTAS!$F$3:$G$100,2)="Subred"),LISTAS!AO38,IF(OR(VLOOKUP($B$8,LISTAS!$F$3:$G$100,2)="Mixta",VLOOKUP($B$8,LISTAS!$F$3:$G$100,2)="Menor 50%"),"No Aplica",LISTAS!AH38))</f>
        <v>O212</v>
      </c>
      <c r="B54" s="350" t="str">
        <f>IF(A54="No Aplica","No Aplica",IF(A54=LISTAS!AH38,LISTAS!AI38,LISTAS!AP38))</f>
        <v>Adquisición bienes y servicios</v>
      </c>
      <c r="C54" s="331">
        <v>12000</v>
      </c>
      <c r="D54" s="332">
        <f t="shared" si="11"/>
        <v>1.1999999999999999E-6</v>
      </c>
      <c r="E54" s="331">
        <v>12000</v>
      </c>
      <c r="F54" s="332">
        <f t="shared" si="12"/>
        <v>9.9999999999999995E-7</v>
      </c>
      <c r="G54" s="333">
        <f t="shared" si="13"/>
        <v>0</v>
      </c>
      <c r="H54" s="332">
        <f t="shared" si="14"/>
        <v>0</v>
      </c>
      <c r="I54" s="328"/>
      <c r="J54" s="331">
        <v>12000</v>
      </c>
      <c r="K54" s="331"/>
      <c r="L54" s="331"/>
      <c r="M54" s="333">
        <f t="shared" si="9"/>
        <v>12000</v>
      </c>
      <c r="N54" s="331">
        <v>12000</v>
      </c>
      <c r="O54" s="332">
        <f t="shared" si="15"/>
        <v>1</v>
      </c>
      <c r="P54" s="331">
        <v>12000</v>
      </c>
      <c r="Q54" s="332">
        <f t="shared" si="16"/>
        <v>1</v>
      </c>
      <c r="R54" s="373"/>
      <c r="S54" s="329"/>
      <c r="AT54" s="380" t="str">
        <f t="shared" si="10"/>
        <v>O212-Adquisición bienes y servicios</v>
      </c>
    </row>
    <row r="55" spans="1:46" x14ac:dyDescent="0.25">
      <c r="A55" s="349" t="str">
        <f>IF(OR(VLOOKUP($B$8,LISTAS!$F$3:$G$100,2)="Empresa Industrial y Comercial",VLOOKUP($B$8,LISTAS!$F$3:$G$100,2)="Subred"),LISTAS!AO39,IF(OR(VLOOKUP($B$8,LISTAS!$F$3:$G$100,2)="Mixta",VLOOKUP($B$8,LISTAS!$F$3:$G$100,2)="Menor 50%"),"No Aplica",LISTAS!AH39))</f>
        <v>O21201</v>
      </c>
      <c r="B55" s="350" t="str">
        <f>IF(A55="No Aplica","No Aplica",IF(A55=LISTAS!AH39,LISTAS!AI39,LISTAS!AP39))</f>
        <v>Adquisición de activos no financieros</v>
      </c>
      <c r="C55" s="331">
        <v>12000</v>
      </c>
      <c r="D55" s="332">
        <f t="shared" si="11"/>
        <v>1.1999999999999999E-6</v>
      </c>
      <c r="E55" s="331">
        <v>12000</v>
      </c>
      <c r="F55" s="332">
        <f t="shared" si="12"/>
        <v>9.9999999999999995E-7</v>
      </c>
      <c r="G55" s="333">
        <f t="shared" si="13"/>
        <v>0</v>
      </c>
      <c r="H55" s="332">
        <f t="shared" si="14"/>
        <v>0</v>
      </c>
      <c r="I55" s="328"/>
      <c r="J55" s="331">
        <v>12000</v>
      </c>
      <c r="K55" s="331"/>
      <c r="L55" s="331"/>
      <c r="M55" s="333">
        <f t="shared" si="9"/>
        <v>12000</v>
      </c>
      <c r="N55" s="331">
        <v>12000</v>
      </c>
      <c r="O55" s="332">
        <f t="shared" si="15"/>
        <v>1</v>
      </c>
      <c r="P55" s="331">
        <v>12000</v>
      </c>
      <c r="Q55" s="332">
        <f t="shared" si="16"/>
        <v>1</v>
      </c>
      <c r="R55" s="373"/>
      <c r="S55" s="329"/>
      <c r="AT55" s="380" t="str">
        <f t="shared" si="10"/>
        <v>O21201-Adquisición de activos no financieros</v>
      </c>
    </row>
    <row r="56" spans="1:46" x14ac:dyDescent="0.25">
      <c r="A56" s="349" t="str">
        <f>IF(OR(VLOOKUP($B$8,LISTAS!$F$3:$G$100,2)="Empresa Industrial y Comercial",VLOOKUP($B$8,LISTAS!$F$3:$G$100,2)="Subred"),LISTAS!AO40,IF(OR(VLOOKUP($B$8,LISTAS!$F$3:$G$100,2)="Mixta",VLOOKUP($B$8,LISTAS!$F$3:$G$100,2)="Menor 50%"),"No Aplica",LISTAS!AH40))</f>
        <v>O21202</v>
      </c>
      <c r="B56" s="350" t="str">
        <f>IF(A56="No Aplica","No Aplica",IF(A56=LISTAS!AH40,LISTAS!AI40,LISTAS!AP40))</f>
        <v>Adquisiciones diferentes de activos</v>
      </c>
      <c r="C56" s="331">
        <v>12000</v>
      </c>
      <c r="D56" s="332">
        <f t="shared" si="11"/>
        <v>1.1999999999999999E-6</v>
      </c>
      <c r="E56" s="331">
        <v>12000</v>
      </c>
      <c r="F56" s="332">
        <f t="shared" si="12"/>
        <v>9.9999999999999995E-7</v>
      </c>
      <c r="G56" s="333">
        <f t="shared" si="13"/>
        <v>0</v>
      </c>
      <c r="H56" s="332">
        <f t="shared" si="14"/>
        <v>0</v>
      </c>
      <c r="I56" s="328"/>
      <c r="J56" s="331">
        <v>12000</v>
      </c>
      <c r="K56" s="331"/>
      <c r="L56" s="331"/>
      <c r="M56" s="333">
        <f t="shared" si="9"/>
        <v>12000</v>
      </c>
      <c r="N56" s="331">
        <v>12000</v>
      </c>
      <c r="O56" s="332">
        <f t="shared" si="15"/>
        <v>1</v>
      </c>
      <c r="P56" s="331">
        <v>12000</v>
      </c>
      <c r="Q56" s="332">
        <f t="shared" si="16"/>
        <v>1</v>
      </c>
      <c r="R56" s="373"/>
      <c r="S56" s="329"/>
      <c r="AT56" s="380" t="str">
        <f t="shared" si="10"/>
        <v>O21202-Adquisiciones diferentes de activos</v>
      </c>
    </row>
    <row r="57" spans="1:46" x14ac:dyDescent="0.25">
      <c r="A57" s="349" t="str">
        <f>IF(OR(VLOOKUP($B$8,LISTAS!$F$3:$G$100,2)="Empresa Industrial y Comercial",VLOOKUP($B$8,LISTAS!$F$3:$G$100,2)="Subred"),LISTAS!AO41,IF(OR(VLOOKUP($B$8,LISTAS!$F$3:$G$100,2)="Mixta",VLOOKUP($B$8,LISTAS!$F$3:$G$100,2)="Menor 50%"),"No Aplica",LISTAS!AH41))</f>
        <v>O213</v>
      </c>
      <c r="B57" s="350" t="str">
        <f>IF(A57="No Aplica","No Aplica",IF(A57=LISTAS!AH41,LISTAS!AI41,LISTAS!AP41))</f>
        <v>Transferencias CORRIENTES</v>
      </c>
      <c r="C57" s="331">
        <v>12000</v>
      </c>
      <c r="D57" s="332">
        <f t="shared" si="11"/>
        <v>1.1999999999999999E-6</v>
      </c>
      <c r="E57" s="331">
        <v>130000</v>
      </c>
      <c r="F57" s="332">
        <f t="shared" si="12"/>
        <v>1.0833333333333334E-5</v>
      </c>
      <c r="G57" s="333">
        <f t="shared" si="13"/>
        <v>118000</v>
      </c>
      <c r="H57" s="332">
        <f t="shared" si="14"/>
        <v>0.90769230769230769</v>
      </c>
      <c r="I57" s="328"/>
      <c r="J57" s="331">
        <v>130000</v>
      </c>
      <c r="K57" s="331"/>
      <c r="L57" s="331"/>
      <c r="M57" s="333">
        <f t="shared" si="9"/>
        <v>130000</v>
      </c>
      <c r="N57" s="331">
        <v>130000</v>
      </c>
      <c r="O57" s="332">
        <f t="shared" si="15"/>
        <v>1</v>
      </c>
      <c r="P57" s="331">
        <v>130000</v>
      </c>
      <c r="Q57" s="332">
        <f t="shared" si="16"/>
        <v>1</v>
      </c>
      <c r="R57" s="373"/>
      <c r="S57" s="329"/>
      <c r="AT57" s="380" t="str">
        <f t="shared" si="10"/>
        <v>O213-Transferencias CORRIENTES</v>
      </c>
    </row>
    <row r="58" spans="1:46" x14ac:dyDescent="0.25">
      <c r="A58" s="349" t="str">
        <f>IF(OR(VLOOKUP($B$8,LISTAS!$F$3:$G$100,2)="Empresa Industrial y Comercial",VLOOKUP($B$8,LISTAS!$F$3:$G$100,2)="Subred"),LISTAS!AO42,IF(OR(VLOOKUP($B$8,LISTAS!$F$3:$G$100,2)="Mixta",VLOOKUP($B$8,LISTAS!$F$3:$G$100,2)="Menor 50%"),"No Aplica",LISTAS!AH42))</f>
        <v>O21304</v>
      </c>
      <c r="B58" s="350" t="str">
        <f>IF(A58="No Aplica","No Aplica",IF(A58=LISTAS!AH42,LISTAS!AI42,LISTAS!AP42))</f>
        <v>A organizaciones nacionales</v>
      </c>
      <c r="C58" s="331">
        <v>12000</v>
      </c>
      <c r="D58" s="332">
        <f t="shared" si="11"/>
        <v>1.1999999999999999E-6</v>
      </c>
      <c r="E58" s="331">
        <v>12000</v>
      </c>
      <c r="F58" s="332">
        <f t="shared" si="12"/>
        <v>9.9999999999999995E-7</v>
      </c>
      <c r="G58" s="333">
        <f t="shared" si="13"/>
        <v>0</v>
      </c>
      <c r="H58" s="332">
        <f t="shared" si="14"/>
        <v>0</v>
      </c>
      <c r="I58" s="328"/>
      <c r="J58" s="331">
        <v>12000</v>
      </c>
      <c r="K58" s="331"/>
      <c r="L58" s="331"/>
      <c r="M58" s="333">
        <f t="shared" si="9"/>
        <v>12000</v>
      </c>
      <c r="N58" s="331">
        <v>12000</v>
      </c>
      <c r="O58" s="332">
        <f t="shared" si="15"/>
        <v>1</v>
      </c>
      <c r="P58" s="331">
        <v>12000</v>
      </c>
      <c r="Q58" s="332">
        <f t="shared" si="16"/>
        <v>1</v>
      </c>
      <c r="R58" s="373"/>
      <c r="S58" s="329"/>
      <c r="AT58" s="380" t="str">
        <f t="shared" si="10"/>
        <v>O21304-A organizaciones nacionales</v>
      </c>
    </row>
    <row r="59" spans="1:46" x14ac:dyDescent="0.25">
      <c r="A59" s="349" t="str">
        <f>IF(OR(VLOOKUP($B$8,LISTAS!$F$3:$G$100,2)="Empresa Industrial y Comercial",VLOOKUP($B$8,LISTAS!$F$3:$G$100,2)="Subred"),LISTAS!AO43,IF(OR(VLOOKUP($B$8,LISTAS!$F$3:$G$100,2)="Mixta",VLOOKUP($B$8,LISTAS!$F$3:$G$100,2)="Menor 50%"),"No Aplica",LISTAS!AH43))</f>
        <v>O21305</v>
      </c>
      <c r="B59" s="350" t="str">
        <f>IF(A59="No Aplica","No Aplica",IF(A59=LISTAS!AH43,LISTAS!AI43,LISTAS!AP43))</f>
        <v>A entidades del gobierno</v>
      </c>
      <c r="C59" s="331">
        <v>12000</v>
      </c>
      <c r="D59" s="332">
        <f t="shared" si="11"/>
        <v>1.1999999999999999E-6</v>
      </c>
      <c r="E59" s="331">
        <v>12000</v>
      </c>
      <c r="F59" s="332">
        <f t="shared" si="12"/>
        <v>9.9999999999999995E-7</v>
      </c>
      <c r="G59" s="333">
        <f t="shared" si="13"/>
        <v>0</v>
      </c>
      <c r="H59" s="332">
        <f t="shared" si="14"/>
        <v>0</v>
      </c>
      <c r="I59" s="328"/>
      <c r="J59" s="331">
        <v>12000</v>
      </c>
      <c r="K59" s="331"/>
      <c r="L59" s="331"/>
      <c r="M59" s="333">
        <f t="shared" si="9"/>
        <v>12000</v>
      </c>
      <c r="N59" s="331">
        <v>12000</v>
      </c>
      <c r="O59" s="332">
        <f t="shared" si="15"/>
        <v>1</v>
      </c>
      <c r="P59" s="331">
        <v>12000</v>
      </c>
      <c r="Q59" s="332">
        <f t="shared" si="16"/>
        <v>1</v>
      </c>
      <c r="R59" s="373"/>
      <c r="S59" s="329"/>
      <c r="AT59" s="380" t="str">
        <f t="shared" si="10"/>
        <v>O21305-A entidades del gobierno</v>
      </c>
    </row>
    <row r="60" spans="1:46" x14ac:dyDescent="0.25">
      <c r="A60" s="349">
        <f>IF(OR(VLOOKUP($B$8,LISTAS!$F$3:$G$100,2)="Empresa Industrial y Comercial",VLOOKUP($B$8,LISTAS!$F$3:$G$100,2)="Subred"),LISTAS!AO44,IF(OR(VLOOKUP($B$8,LISTAS!$F$3:$G$100,2)="Mixta",VLOOKUP($B$8,LISTAS!$F$3:$G$100,2)="Menor 50%"),"No Aplica",LISTAS!AH44))</f>
        <v>0</v>
      </c>
      <c r="B60" s="350" t="str">
        <f>IF(A60="No Aplica","No Aplica",IF(A60=LISTAS!AH44,LISTAS!AI44,LISTAS!AP44))</f>
        <v>Adquisición de activos financieros</v>
      </c>
      <c r="C60" s="331">
        <v>12000</v>
      </c>
      <c r="D60" s="332">
        <f t="shared" si="11"/>
        <v>1.1999999999999999E-6</v>
      </c>
      <c r="E60" s="331">
        <v>12000</v>
      </c>
      <c r="F60" s="332">
        <f t="shared" si="12"/>
        <v>9.9999999999999995E-7</v>
      </c>
      <c r="G60" s="333">
        <f t="shared" si="13"/>
        <v>0</v>
      </c>
      <c r="H60" s="332">
        <f t="shared" si="14"/>
        <v>0</v>
      </c>
      <c r="I60" s="328"/>
      <c r="J60" s="331">
        <v>12000</v>
      </c>
      <c r="K60" s="331"/>
      <c r="L60" s="331"/>
      <c r="M60" s="333">
        <f t="shared" si="9"/>
        <v>12000</v>
      </c>
      <c r="N60" s="331">
        <v>12000</v>
      </c>
      <c r="O60" s="332">
        <f t="shared" si="15"/>
        <v>1</v>
      </c>
      <c r="P60" s="331">
        <v>12000</v>
      </c>
      <c r="Q60" s="332">
        <f t="shared" si="16"/>
        <v>1</v>
      </c>
      <c r="R60" s="373"/>
      <c r="S60" s="329"/>
      <c r="AT60" s="380" t="str">
        <f t="shared" si="10"/>
        <v>0-Adquisición de activos financieros</v>
      </c>
    </row>
    <row r="61" spans="1:46" x14ac:dyDescent="0.25">
      <c r="A61" s="349" t="str">
        <f>IF(OR(VLOOKUP($B$8,LISTAS!$F$3:$G$100,2)="Empresa Industrial y Comercial",VLOOKUP($B$8,LISTAS!$F$3:$G$100,2)="Subred"),LISTAS!AO45,IF(OR(VLOOKUP($B$8,LISTAS!$F$3:$G$100,2)="Mixta",VLOOKUP($B$8,LISTAS!$F$3:$G$100,2)="Menor 50%"),"No Aplica",LISTAS!AH45))</f>
        <v>O21314</v>
      </c>
      <c r="B61" s="350" t="str">
        <f>IF(A61="No Aplica","No Aplica",IF(A61=LISTAS!AH45,LISTAS!AI45,LISTAS!AP45))</f>
        <v>Aportes al FONPET</v>
      </c>
      <c r="C61" s="331">
        <v>12009</v>
      </c>
      <c r="D61" s="332">
        <f t="shared" si="11"/>
        <v>1.2009E-6</v>
      </c>
      <c r="E61" s="331">
        <v>12000</v>
      </c>
      <c r="F61" s="332">
        <f t="shared" si="12"/>
        <v>9.9999999999999995E-7</v>
      </c>
      <c r="G61" s="333">
        <f t="shared" si="13"/>
        <v>-9</v>
      </c>
      <c r="H61" s="332">
        <f t="shared" si="14"/>
        <v>-7.5000000000000002E-4</v>
      </c>
      <c r="I61" s="328"/>
      <c r="J61" s="331">
        <v>12000</v>
      </c>
      <c r="K61" s="331"/>
      <c r="L61" s="331"/>
      <c r="M61" s="333">
        <f t="shared" si="9"/>
        <v>12000</v>
      </c>
      <c r="N61" s="331">
        <v>12000</v>
      </c>
      <c r="O61" s="332">
        <f t="shared" si="15"/>
        <v>1</v>
      </c>
      <c r="P61" s="331">
        <v>12000</v>
      </c>
      <c r="Q61" s="332">
        <f t="shared" si="16"/>
        <v>1</v>
      </c>
      <c r="R61" s="373"/>
      <c r="S61" s="329"/>
      <c r="AT61" s="380" t="str">
        <f t="shared" si="10"/>
        <v>O21314-Aportes al FONPET</v>
      </c>
    </row>
    <row r="62" spans="1:46" x14ac:dyDescent="0.25">
      <c r="A62" s="349" t="str">
        <f>IF(OR(VLOOKUP($B$8,LISTAS!$F$3:$G$100,2)="Empresa Industrial y Comercial",VLOOKUP($B$8,LISTAS!$F$3:$G$100,2)="Subred"),LISTAS!AO46,IF(OR(VLOOKUP($B$8,LISTAS!$F$3:$G$100,2)="Mixta",VLOOKUP($B$8,LISTAS!$F$3:$G$100,2)="Menor 50%"),"No Aplica",LISTAS!AH46))</f>
        <v>O217</v>
      </c>
      <c r="B62" s="350" t="str">
        <f>IF(A62="No Aplica","No Aplica",IF(A62=LISTAS!AH46,LISTAS!AI46,LISTAS!AP46))</f>
        <v>Disminución de Pasivos</v>
      </c>
      <c r="C62" s="331">
        <v>12010</v>
      </c>
      <c r="D62" s="332">
        <f t="shared" si="11"/>
        <v>1.201E-6</v>
      </c>
      <c r="E62" s="331">
        <v>12000</v>
      </c>
      <c r="F62" s="332">
        <f t="shared" si="12"/>
        <v>9.9999999999999995E-7</v>
      </c>
      <c r="G62" s="333">
        <f t="shared" si="13"/>
        <v>-10</v>
      </c>
      <c r="H62" s="332">
        <f t="shared" si="14"/>
        <v>-8.3333333333333339E-4</v>
      </c>
      <c r="I62" s="328"/>
      <c r="J62" s="331">
        <v>12000</v>
      </c>
      <c r="K62" s="331"/>
      <c r="L62" s="331"/>
      <c r="M62" s="333">
        <f t="shared" si="9"/>
        <v>12000</v>
      </c>
      <c r="N62" s="331">
        <v>12000</v>
      </c>
      <c r="O62" s="332">
        <f t="shared" si="15"/>
        <v>1</v>
      </c>
      <c r="P62" s="331">
        <v>12000</v>
      </c>
      <c r="Q62" s="332">
        <f t="shared" si="16"/>
        <v>1</v>
      </c>
      <c r="R62" s="373"/>
      <c r="S62" s="329"/>
      <c r="AT62" s="380" t="str">
        <f t="shared" si="10"/>
        <v>O217-Disminución de Pasivos</v>
      </c>
    </row>
    <row r="63" spans="1:46" ht="18.75" customHeight="1" x14ac:dyDescent="0.25">
      <c r="A63" s="349" t="str">
        <f>IF(OR(VLOOKUP($B$8,LISTAS!$F$3:$G$100,2)="Empresa Industrial y Comercial",VLOOKUP($B$8,LISTAS!$F$3:$G$100,2)="Subred"),LISTAS!AO47,IF(OR(VLOOKUP($B$8,LISTAS!$F$3:$G$100,2)="Mixta",VLOOKUP($B$8,LISTAS!$F$3:$G$100,2)="Menor 50%"),"No Aplica",LISTAS!AH47))</f>
        <v>O218</v>
      </c>
      <c r="B63" s="350" t="str">
        <f>IF(A63="No Aplica","No Aplica",IF(A63=LISTAS!AH47,LISTAS!AI47,LISTAS!AP47))</f>
        <v>Gastos por tributos, tasas, contribuciones, multas, sanciones e intereses de mora</v>
      </c>
      <c r="C63" s="331">
        <v>12000</v>
      </c>
      <c r="D63" s="332">
        <f t="shared" si="11"/>
        <v>1.1999999999999999E-6</v>
      </c>
      <c r="E63" s="331">
        <v>12000</v>
      </c>
      <c r="F63" s="332">
        <f t="shared" si="12"/>
        <v>9.9999999999999995E-7</v>
      </c>
      <c r="G63" s="333">
        <f t="shared" si="13"/>
        <v>0</v>
      </c>
      <c r="H63" s="332">
        <f t="shared" si="14"/>
        <v>0</v>
      </c>
      <c r="I63" s="328"/>
      <c r="J63" s="331">
        <v>12000</v>
      </c>
      <c r="K63" s="331"/>
      <c r="L63" s="331"/>
      <c r="M63" s="333">
        <f t="shared" si="9"/>
        <v>12000</v>
      </c>
      <c r="N63" s="331">
        <v>12000</v>
      </c>
      <c r="O63" s="332">
        <f t="shared" si="15"/>
        <v>1</v>
      </c>
      <c r="P63" s="331">
        <v>12000</v>
      </c>
      <c r="Q63" s="332">
        <f t="shared" si="16"/>
        <v>1</v>
      </c>
      <c r="R63" s="373"/>
      <c r="S63" s="329"/>
      <c r="AT63" s="380" t="str">
        <f t="shared" si="10"/>
        <v>O218-Gastos por tributos, tasas, contribuciones, multas, sanciones e intereses de mora</v>
      </c>
    </row>
    <row r="64" spans="1:46" ht="15" x14ac:dyDescent="0.25">
      <c r="A64" s="348" t="str">
        <f>IF(OR(VLOOKUP($B$8,LISTAS!$F$3:$G$100,2)="Empresa Industrial y Comercial",VLOOKUP($B$8,LISTAS!$F$3:$G$100,2)="Subred"),LISTAS!AO48,IF(OR(VLOOKUP($B$8,LISTAS!$F$3:$G$100,2)="Mixta",VLOOKUP($B$8,LISTAS!$F$3:$G$100,2)="Menor 50%"),"No Aplica",LISTAS!AH48))</f>
        <v>O22</v>
      </c>
      <c r="B64" s="137" t="str">
        <f>IF(A64="No Aplica","No Aplica",IF(A64=LISTAS!AH48,LISTAS!AI48,LISTAS!AP48))</f>
        <v>SERVICIO DE LA DEUDA PÚBLICA</v>
      </c>
      <c r="C64" s="325">
        <v>12001</v>
      </c>
      <c r="D64" s="326">
        <f t="shared" si="11"/>
        <v>1.2001E-6</v>
      </c>
      <c r="E64" s="325">
        <v>12001</v>
      </c>
      <c r="F64" s="326">
        <f t="shared" si="12"/>
        <v>1.0000833333333333E-6</v>
      </c>
      <c r="G64" s="327">
        <f t="shared" si="13"/>
        <v>0</v>
      </c>
      <c r="H64" s="326">
        <f t="shared" si="14"/>
        <v>0</v>
      </c>
      <c r="I64" s="334"/>
      <c r="J64" s="325">
        <v>12001</v>
      </c>
      <c r="K64" s="325"/>
      <c r="L64" s="325"/>
      <c r="M64" s="327">
        <f t="shared" si="9"/>
        <v>12001</v>
      </c>
      <c r="N64" s="325">
        <v>12001</v>
      </c>
      <c r="O64" s="326">
        <f t="shared" si="15"/>
        <v>1</v>
      </c>
      <c r="P64" s="325">
        <v>12001</v>
      </c>
      <c r="Q64" s="326">
        <f t="shared" si="16"/>
        <v>1</v>
      </c>
      <c r="R64" s="65"/>
      <c r="S64" s="329"/>
      <c r="AT64" s="380" t="str">
        <f t="shared" si="10"/>
        <v>O22-SERVICIO DE LA DEUDA PÚBLICA</v>
      </c>
    </row>
    <row r="65" spans="1:46" x14ac:dyDescent="0.25">
      <c r="A65" s="349" t="str">
        <f>IF(OR(VLOOKUP($B$8,LISTAS!$F$3:$G$100,2)="Empresa Industrial y Comercial",VLOOKUP($B$8,LISTAS!$F$3:$G$100,2)="Subred"),LISTAS!AO49,IF(OR(VLOOKUP($B$8,LISTAS!$F$3:$G$100,2)="Mixta",VLOOKUP($B$8,LISTAS!$F$3:$G$100,2)="Menor 50%"),"No Aplica",LISTAS!AH49))</f>
        <v>O221</v>
      </c>
      <c r="B65" s="350" t="str">
        <f>IF(A65="No Aplica","No Aplica",IF(A65=LISTAS!AH49,LISTAS!AI49,LISTAS!AP49))</f>
        <v>Servicios de la deuda pública externa</v>
      </c>
      <c r="C65" s="331">
        <v>12002</v>
      </c>
      <c r="D65" s="332">
        <f t="shared" si="11"/>
        <v>1.2002E-6</v>
      </c>
      <c r="E65" s="331">
        <v>12002</v>
      </c>
      <c r="F65" s="332">
        <f t="shared" si="12"/>
        <v>1.0001666666666666E-6</v>
      </c>
      <c r="G65" s="333">
        <f t="shared" si="13"/>
        <v>0</v>
      </c>
      <c r="H65" s="332">
        <f t="shared" si="14"/>
        <v>0</v>
      </c>
      <c r="I65" s="328"/>
      <c r="J65" s="331">
        <v>12002</v>
      </c>
      <c r="K65" s="331"/>
      <c r="L65" s="331"/>
      <c r="M65" s="333">
        <f t="shared" si="9"/>
        <v>12002</v>
      </c>
      <c r="N65" s="331">
        <v>12002</v>
      </c>
      <c r="O65" s="332">
        <f t="shared" si="15"/>
        <v>1</v>
      </c>
      <c r="P65" s="331">
        <v>12002</v>
      </c>
      <c r="Q65" s="332">
        <f t="shared" si="16"/>
        <v>1</v>
      </c>
      <c r="R65" s="373"/>
      <c r="S65" s="329"/>
      <c r="AT65" s="380" t="str">
        <f t="shared" si="10"/>
        <v>O221-Servicios de la deuda pública externa</v>
      </c>
    </row>
    <row r="66" spans="1:46" x14ac:dyDescent="0.25">
      <c r="A66" s="349" t="str">
        <f>IF(OR(VLOOKUP($B$8,LISTAS!$F$3:$G$100,2)="Empresa Industrial y Comercial",VLOOKUP($B$8,LISTAS!$F$3:$G$100,2)="Subred"),LISTAS!AO50,IF(OR(VLOOKUP($B$8,LISTAS!$F$3:$G$100,2)="Mixta",VLOOKUP($B$8,LISTAS!$F$3:$G$100,2)="Menor 50%"),"No Aplica",LISTAS!AH50))</f>
        <v>O22101</v>
      </c>
      <c r="B66" s="350" t="str">
        <f>IF(A66="No Aplica","No Aplica",IF(A66=LISTAS!AH50,LISTAS!AI50,LISTAS!AP50))</f>
        <v>Principal</v>
      </c>
      <c r="C66" s="331">
        <v>12003</v>
      </c>
      <c r="D66" s="332">
        <f t="shared" si="11"/>
        <v>1.2003E-6</v>
      </c>
      <c r="E66" s="331">
        <v>12003</v>
      </c>
      <c r="F66" s="332">
        <f t="shared" si="12"/>
        <v>1.0002500000000001E-6</v>
      </c>
      <c r="G66" s="333">
        <f t="shared" si="13"/>
        <v>0</v>
      </c>
      <c r="H66" s="332">
        <f t="shared" si="14"/>
        <v>0</v>
      </c>
      <c r="I66" s="328"/>
      <c r="J66" s="331">
        <v>12003</v>
      </c>
      <c r="K66" s="331"/>
      <c r="L66" s="331"/>
      <c r="M66" s="333">
        <f t="shared" si="9"/>
        <v>12003</v>
      </c>
      <c r="N66" s="331">
        <v>12003</v>
      </c>
      <c r="O66" s="332">
        <f t="shared" si="15"/>
        <v>1</v>
      </c>
      <c r="P66" s="331">
        <v>12003</v>
      </c>
      <c r="Q66" s="332">
        <f t="shared" si="16"/>
        <v>1</v>
      </c>
      <c r="R66" s="373"/>
      <c r="S66" s="329"/>
      <c r="AT66" s="380" t="str">
        <f t="shared" si="10"/>
        <v>O22101-Principal</v>
      </c>
    </row>
    <row r="67" spans="1:46" x14ac:dyDescent="0.25">
      <c r="A67" s="349" t="str">
        <f>IF(OR(VLOOKUP($B$8,LISTAS!$F$3:$G$100,2)="Empresa Industrial y Comercial",VLOOKUP($B$8,LISTAS!$F$3:$G$100,2)="Subred"),LISTAS!AO51,IF(OR(VLOOKUP($B$8,LISTAS!$F$3:$G$100,2)="Mixta",VLOOKUP($B$8,LISTAS!$F$3:$G$100,2)="Menor 50%"),"No Aplica",LISTAS!AH51))</f>
        <v>O22102</v>
      </c>
      <c r="B67" s="350" t="str">
        <f>IF(A67="No Aplica","No Aplica",IF(A67=LISTAS!AH51,LISTAS!AI51,LISTAS!AP51))</f>
        <v>Intereses</v>
      </c>
      <c r="C67" s="331">
        <v>12004</v>
      </c>
      <c r="D67" s="332">
        <f t="shared" si="11"/>
        <v>1.2004E-6</v>
      </c>
      <c r="E67" s="331">
        <v>12004</v>
      </c>
      <c r="F67" s="332">
        <f t="shared" si="12"/>
        <v>1.0003333333333334E-6</v>
      </c>
      <c r="G67" s="333">
        <f t="shared" si="13"/>
        <v>0</v>
      </c>
      <c r="H67" s="332">
        <f t="shared" si="14"/>
        <v>0</v>
      </c>
      <c r="I67" s="328"/>
      <c r="J67" s="331">
        <v>12004</v>
      </c>
      <c r="K67" s="331"/>
      <c r="L67" s="331"/>
      <c r="M67" s="333">
        <f t="shared" si="9"/>
        <v>12004</v>
      </c>
      <c r="N67" s="331">
        <v>12004</v>
      </c>
      <c r="O67" s="332">
        <f t="shared" si="15"/>
        <v>1</v>
      </c>
      <c r="P67" s="331">
        <v>12004</v>
      </c>
      <c r="Q67" s="332">
        <f t="shared" si="16"/>
        <v>1</v>
      </c>
      <c r="R67" s="373"/>
      <c r="S67" s="329"/>
      <c r="AT67" s="380" t="str">
        <f t="shared" si="10"/>
        <v>O22102-Intereses</v>
      </c>
    </row>
    <row r="68" spans="1:46" x14ac:dyDescent="0.25">
      <c r="A68" s="349" t="str">
        <f>IF(OR(VLOOKUP($B$8,LISTAS!$F$3:$G$100,2)="Empresa Industrial y Comercial",VLOOKUP($B$8,LISTAS!$F$3:$G$100,2)="Subred"),LISTAS!AO52,IF(OR(VLOOKUP($B$8,LISTAS!$F$3:$G$100,2)="Mixta",VLOOKUP($B$8,LISTAS!$F$3:$G$100,2)="Menor 50%"),"No Aplica",LISTAS!AH52))</f>
        <v>O222</v>
      </c>
      <c r="B68" s="350" t="str">
        <f>IF(A68="No Aplica","No Aplica",IF(A68=LISTAS!AH52,LISTAS!AI52,LISTAS!AP52))</f>
        <v>Servicios de la deuda pública interna</v>
      </c>
      <c r="C68" s="331">
        <v>12005</v>
      </c>
      <c r="D68" s="332">
        <f t="shared" si="11"/>
        <v>1.2005E-6</v>
      </c>
      <c r="E68" s="331">
        <v>12005</v>
      </c>
      <c r="F68" s="332">
        <f t="shared" si="12"/>
        <v>1.0004166666666667E-6</v>
      </c>
      <c r="G68" s="333">
        <f t="shared" si="13"/>
        <v>0</v>
      </c>
      <c r="H68" s="332">
        <f t="shared" si="14"/>
        <v>0</v>
      </c>
      <c r="I68" s="328"/>
      <c r="J68" s="331">
        <v>12005</v>
      </c>
      <c r="K68" s="331"/>
      <c r="L68" s="331"/>
      <c r="M68" s="333">
        <f t="shared" si="9"/>
        <v>12005</v>
      </c>
      <c r="N68" s="331">
        <v>12005</v>
      </c>
      <c r="O68" s="332">
        <f t="shared" si="15"/>
        <v>1</v>
      </c>
      <c r="P68" s="331">
        <v>12005</v>
      </c>
      <c r="Q68" s="332">
        <f t="shared" si="16"/>
        <v>1</v>
      </c>
      <c r="R68" s="373"/>
      <c r="S68" s="329"/>
      <c r="AT68" s="380" t="str">
        <f t="shared" si="10"/>
        <v>O222-Servicios de la deuda pública interna</v>
      </c>
    </row>
    <row r="69" spans="1:46" x14ac:dyDescent="0.25">
      <c r="A69" s="349" t="str">
        <f>IF(OR(VLOOKUP($B$8,LISTAS!$F$3:$G$100,2)="Empresa Industrial y Comercial",VLOOKUP($B$8,LISTAS!$F$3:$G$100,2)="Subred"),LISTAS!AO53,IF(OR(VLOOKUP($B$8,LISTAS!$F$3:$G$100,2)="Mixta",VLOOKUP($B$8,LISTAS!$F$3:$G$100,2)="Menor 50%"),"No Aplica",LISTAS!AH53))</f>
        <v>O22201</v>
      </c>
      <c r="B69" s="350" t="str">
        <f>IF(A69="No Aplica","No Aplica",IF(A69=LISTAS!AH53,LISTAS!AI53,LISTAS!AP53))</f>
        <v>Principal</v>
      </c>
      <c r="C69" s="331">
        <v>12006</v>
      </c>
      <c r="D69" s="332">
        <f t="shared" si="11"/>
        <v>1.2006E-6</v>
      </c>
      <c r="E69" s="331">
        <v>12006</v>
      </c>
      <c r="F69" s="332">
        <f t="shared" si="12"/>
        <v>1.0005E-6</v>
      </c>
      <c r="G69" s="333">
        <f t="shared" si="13"/>
        <v>0</v>
      </c>
      <c r="H69" s="332">
        <f t="shared" si="14"/>
        <v>0</v>
      </c>
      <c r="I69" s="328"/>
      <c r="J69" s="331">
        <v>12006</v>
      </c>
      <c r="K69" s="331"/>
      <c r="L69" s="331"/>
      <c r="M69" s="333">
        <f t="shared" si="9"/>
        <v>12006</v>
      </c>
      <c r="N69" s="331">
        <v>12006</v>
      </c>
      <c r="O69" s="332">
        <f t="shared" si="15"/>
        <v>1</v>
      </c>
      <c r="P69" s="331">
        <v>12006</v>
      </c>
      <c r="Q69" s="332">
        <f t="shared" si="16"/>
        <v>1</v>
      </c>
      <c r="R69" s="373"/>
      <c r="S69" s="329"/>
      <c r="AT69" s="380" t="str">
        <f t="shared" si="10"/>
        <v>O22201-Principal</v>
      </c>
    </row>
    <row r="70" spans="1:46" x14ac:dyDescent="0.25">
      <c r="A70" s="349" t="str">
        <f>IF(OR(VLOOKUP($B$8,LISTAS!$F$3:$G$100,2)="Empresa Industrial y Comercial",VLOOKUP($B$8,LISTAS!$F$3:$G$100,2)="Subred"),LISTAS!AO54,IF(OR(VLOOKUP($B$8,LISTAS!$F$3:$G$100,2)="Mixta",VLOOKUP($B$8,LISTAS!$F$3:$G$100,2)="Menor 50%"),"No Aplica",LISTAS!AH54))</f>
        <v>O22202</v>
      </c>
      <c r="B70" s="350" t="str">
        <f>IF(A70="No Aplica","No Aplica",IF(A70=LISTAS!AH54,LISTAS!AI54,LISTAS!AP54))</f>
        <v>Intereses</v>
      </c>
      <c r="C70" s="331">
        <v>12007</v>
      </c>
      <c r="D70" s="332">
        <f t="shared" si="11"/>
        <v>1.2007E-6</v>
      </c>
      <c r="E70" s="331">
        <v>12007</v>
      </c>
      <c r="F70" s="332">
        <f t="shared" si="12"/>
        <v>1.0005833333333333E-6</v>
      </c>
      <c r="G70" s="333">
        <f t="shared" si="13"/>
        <v>0</v>
      </c>
      <c r="H70" s="332">
        <f t="shared" si="14"/>
        <v>0</v>
      </c>
      <c r="I70" s="328"/>
      <c r="J70" s="331">
        <v>12007</v>
      </c>
      <c r="K70" s="331"/>
      <c r="L70" s="331"/>
      <c r="M70" s="333">
        <f t="shared" si="9"/>
        <v>12007</v>
      </c>
      <c r="N70" s="331">
        <v>12007</v>
      </c>
      <c r="O70" s="332">
        <f t="shared" si="15"/>
        <v>1</v>
      </c>
      <c r="P70" s="331">
        <v>12007</v>
      </c>
      <c r="Q70" s="332">
        <f t="shared" si="16"/>
        <v>1</v>
      </c>
      <c r="R70" s="373"/>
      <c r="S70" s="329"/>
      <c r="AT70" s="380" t="str">
        <f t="shared" si="10"/>
        <v>O22202-Intereses</v>
      </c>
    </row>
    <row r="71" spans="1:46" x14ac:dyDescent="0.25">
      <c r="A71" s="349" t="str">
        <f>IF(OR(VLOOKUP($B$8,LISTAS!$F$3:$G$100,2)="Empresa Industrial y Comercial",VLOOKUP($B$8,LISTAS!$F$3:$G$100,2)="Subred"),LISTAS!AO55,IF(OR(VLOOKUP($B$8,LISTAS!$F$3:$G$100,2)="Mixta",VLOOKUP($B$8,LISTAS!$F$3:$G$100,2)="Menor 50%"),"No Aplica",LISTAS!AH55))</f>
        <v>O22203</v>
      </c>
      <c r="B71" s="350" t="str">
        <f>IF(A71="No Aplica","No Aplica",IF(A71=LISTAS!AH55,LISTAS!AI55,LISTAS!AP55))</f>
        <v>Comisiones y otros GASTOS</v>
      </c>
      <c r="C71" s="331">
        <v>12008</v>
      </c>
      <c r="D71" s="332">
        <f t="shared" si="11"/>
        <v>1.2008E-6</v>
      </c>
      <c r="E71" s="331">
        <v>12008</v>
      </c>
      <c r="F71" s="332">
        <f t="shared" si="12"/>
        <v>1.0006666666666666E-6</v>
      </c>
      <c r="G71" s="333">
        <f t="shared" si="13"/>
        <v>0</v>
      </c>
      <c r="H71" s="332">
        <f t="shared" si="14"/>
        <v>0</v>
      </c>
      <c r="I71" s="328"/>
      <c r="J71" s="331">
        <v>12008</v>
      </c>
      <c r="K71" s="331"/>
      <c r="L71" s="331"/>
      <c r="M71" s="333">
        <f t="shared" si="9"/>
        <v>12008</v>
      </c>
      <c r="N71" s="331">
        <v>12008</v>
      </c>
      <c r="O71" s="332">
        <f t="shared" si="15"/>
        <v>1</v>
      </c>
      <c r="P71" s="331">
        <v>12008</v>
      </c>
      <c r="Q71" s="332">
        <f t="shared" si="16"/>
        <v>1</v>
      </c>
      <c r="R71" s="373"/>
      <c r="S71" s="329"/>
      <c r="AT71" s="380" t="str">
        <f t="shared" si="10"/>
        <v>O22203-Comisiones y otros GASTOS</v>
      </c>
    </row>
    <row r="72" spans="1:46" ht="15" x14ac:dyDescent="0.25">
      <c r="A72" s="348" t="str">
        <f>IF(OR(VLOOKUP($B$8,LISTAS!$F$3:$G$100,2)="Empresa Industrial y Comercial",VLOOKUP($B$8,LISTAS!$F$3:$G$100,2)="Subred"),LISTAS!AO56,IF(OR(VLOOKUP($B$8,LISTAS!$F$3:$G$100,2)="Mixta",VLOOKUP($B$8,LISTAS!$F$3:$G$100,2)="Menor 50%"),"No Aplica",LISTAS!AH56))</f>
        <v>O23</v>
      </c>
      <c r="B72" s="137" t="str">
        <f>IF(A72="No Aplica","No Aplica",IF(A72=LISTAS!AH56,LISTAS!AI56,LISTAS!AP56))</f>
        <v>INVERSIÓN</v>
      </c>
      <c r="C72" s="325">
        <v>12009</v>
      </c>
      <c r="D72" s="326">
        <f t="shared" si="11"/>
        <v>1.2009E-6</v>
      </c>
      <c r="E72" s="325">
        <v>12009</v>
      </c>
      <c r="F72" s="326">
        <f t="shared" si="12"/>
        <v>1.0007499999999999E-6</v>
      </c>
      <c r="G72" s="327">
        <f t="shared" si="13"/>
        <v>0</v>
      </c>
      <c r="H72" s="326">
        <f t="shared" si="14"/>
        <v>0</v>
      </c>
      <c r="I72" s="334"/>
      <c r="J72" s="325">
        <v>12009</v>
      </c>
      <c r="K72" s="325"/>
      <c r="L72" s="325"/>
      <c r="M72" s="327">
        <f t="shared" si="9"/>
        <v>12009</v>
      </c>
      <c r="N72" s="325">
        <v>12009</v>
      </c>
      <c r="O72" s="326">
        <f t="shared" si="15"/>
        <v>1</v>
      </c>
      <c r="P72" s="325">
        <v>12009</v>
      </c>
      <c r="Q72" s="326">
        <f t="shared" si="16"/>
        <v>1</v>
      </c>
      <c r="R72" s="65"/>
      <c r="S72" s="329"/>
      <c r="AT72" s="380" t="str">
        <f t="shared" si="10"/>
        <v>O23-INVERSIÓN</v>
      </c>
    </row>
    <row r="73" spans="1:46" x14ac:dyDescent="0.25">
      <c r="A73" s="349" t="str">
        <f>IF(OR(VLOOKUP($B$8,LISTAS!$F$3:$G$100,2)="Empresa Industrial y Comercial",VLOOKUP($B$8,LISTAS!$F$3:$G$100,2)="Subred"),LISTAS!AO57,IF(OR(VLOOKUP($B$8,LISTAS!$F$3:$G$100,2)="Mixta",VLOOKUP($B$8,LISTAS!$F$3:$G$100,2)="Menor 50%"),"No Aplica",LISTAS!AH57))</f>
        <v>O2301</v>
      </c>
      <c r="B73" s="350" t="str">
        <f>IF(A73="No Aplica","No Aplica",IF(A73=LISTAS!AH57,LISTAS!AI57,LISTAS!AP57))</f>
        <v>Directa</v>
      </c>
      <c r="C73" s="331">
        <v>12010</v>
      </c>
      <c r="D73" s="332">
        <f t="shared" si="11"/>
        <v>1.201E-6</v>
      </c>
      <c r="E73" s="331">
        <v>12010</v>
      </c>
      <c r="F73" s="332">
        <f t="shared" si="12"/>
        <v>1.0008333333333334E-6</v>
      </c>
      <c r="G73" s="333">
        <f t="shared" si="13"/>
        <v>0</v>
      </c>
      <c r="H73" s="332">
        <f t="shared" si="14"/>
        <v>0</v>
      </c>
      <c r="I73" s="328"/>
      <c r="J73" s="331">
        <v>12010</v>
      </c>
      <c r="K73" s="331"/>
      <c r="L73" s="331"/>
      <c r="M73" s="333">
        <f t="shared" si="9"/>
        <v>12010</v>
      </c>
      <c r="N73" s="331">
        <v>12010</v>
      </c>
      <c r="O73" s="332">
        <f t="shared" si="15"/>
        <v>1</v>
      </c>
      <c r="P73" s="331">
        <v>12010</v>
      </c>
      <c r="Q73" s="332">
        <f t="shared" si="16"/>
        <v>1</v>
      </c>
      <c r="R73" s="373"/>
      <c r="S73" s="329"/>
      <c r="AT73" s="380" t="str">
        <f t="shared" si="10"/>
        <v>O2301-Directa</v>
      </c>
    </row>
    <row r="74" spans="1:46" x14ac:dyDescent="0.25">
      <c r="A74" s="349" t="str">
        <f>IF(OR(VLOOKUP($B$8,LISTAS!$F$3:$G$100,2)="Empresa Industrial y Comercial",VLOOKUP($B$8,LISTAS!$F$3:$G$100,2)="Subred"),LISTAS!AO58,IF(OR(VLOOKUP($B$8,LISTAS!$F$3:$G$100,2)="Mixta",VLOOKUP($B$8,LISTAS!$F$3:$G$100,2)="Menor 50%"),"No Aplica",LISTAS!AH58))</f>
        <v>O233</v>
      </c>
      <c r="B74" s="350" t="str">
        <f>IF(A74="No Aplica","No Aplica",IF(A74=LISTAS!AH58,LISTAS!AI58,LISTAS!AP58))</f>
        <v>Transferencias CORRIENTES</v>
      </c>
      <c r="C74" s="331">
        <v>12011</v>
      </c>
      <c r="D74" s="332">
        <f t="shared" si="11"/>
        <v>1.2011E-6</v>
      </c>
      <c r="E74" s="331">
        <v>12011</v>
      </c>
      <c r="F74" s="332">
        <f t="shared" si="12"/>
        <v>1.0009166666666667E-6</v>
      </c>
      <c r="G74" s="333">
        <f t="shared" si="13"/>
        <v>0</v>
      </c>
      <c r="H74" s="332">
        <f t="shared" si="14"/>
        <v>0</v>
      </c>
      <c r="I74" s="328"/>
      <c r="J74" s="331">
        <v>12011</v>
      </c>
      <c r="K74" s="331"/>
      <c r="L74" s="331"/>
      <c r="M74" s="333">
        <f t="shared" si="9"/>
        <v>12011</v>
      </c>
      <c r="N74" s="331">
        <v>12011</v>
      </c>
      <c r="O74" s="332">
        <f t="shared" si="15"/>
        <v>1</v>
      </c>
      <c r="P74" s="331">
        <v>12011</v>
      </c>
      <c r="Q74" s="332">
        <f t="shared" si="16"/>
        <v>1</v>
      </c>
      <c r="R74" s="373"/>
      <c r="S74" s="329"/>
      <c r="AT74" s="380" t="str">
        <f t="shared" si="10"/>
        <v>O233-Transferencias CORRIENTES</v>
      </c>
    </row>
    <row r="75" spans="1:46" x14ac:dyDescent="0.25">
      <c r="A75" s="349" t="str">
        <f>IF(OR(VLOOKUP($B$8,LISTAS!$F$3:$G$100,2)="Empresa Industrial y Comercial",VLOOKUP($B$8,LISTAS!$F$3:$G$100,2)="Subred"),LISTAS!AO59,IF(OR(VLOOKUP($B$8,LISTAS!$F$3:$G$100,2)="Mixta",VLOOKUP($B$8,LISTAS!$F$3:$G$100,2)="Menor 50%"),"No Aplica",LISTAS!AH59))</f>
        <v>O23301</v>
      </c>
      <c r="B75" s="350" t="str">
        <f>IF(A75="No Aplica","No Aplica",IF(A75=LISTAS!AH59,LISTAS!AI59,LISTAS!AP59))</f>
        <v>Subvenciones</v>
      </c>
      <c r="C75" s="331">
        <v>12012</v>
      </c>
      <c r="D75" s="332">
        <f t="shared" si="11"/>
        <v>1.2012E-6</v>
      </c>
      <c r="E75" s="331">
        <v>12012</v>
      </c>
      <c r="F75" s="332">
        <f t="shared" si="12"/>
        <v>1.001E-6</v>
      </c>
      <c r="G75" s="333">
        <f t="shared" si="13"/>
        <v>0</v>
      </c>
      <c r="H75" s="332">
        <f t="shared" si="14"/>
        <v>0</v>
      </c>
      <c r="I75" s="328"/>
      <c r="J75" s="331">
        <v>12012</v>
      </c>
      <c r="K75" s="331"/>
      <c r="L75" s="331"/>
      <c r="M75" s="333">
        <f t="shared" si="9"/>
        <v>12012</v>
      </c>
      <c r="N75" s="331">
        <v>12012</v>
      </c>
      <c r="O75" s="332">
        <f t="shared" si="15"/>
        <v>1</v>
      </c>
      <c r="P75" s="331">
        <v>12012</v>
      </c>
      <c r="Q75" s="332">
        <f t="shared" si="16"/>
        <v>1</v>
      </c>
      <c r="R75" s="373"/>
      <c r="S75" s="329"/>
      <c r="AT75" s="380" t="str">
        <f t="shared" si="10"/>
        <v>O23301-Subvenciones</v>
      </c>
    </row>
    <row r="76" spans="1:46" x14ac:dyDescent="0.25">
      <c r="A76" s="349" t="str">
        <f>IF(OR(VLOOKUP($B$8,LISTAS!$F$3:$G$100,2)="Empresa Industrial y Comercial",VLOOKUP($B$8,LISTAS!$F$3:$G$100,2)="Subred"),LISTAS!AO60,IF(OR(VLOOKUP($B$8,LISTAS!$F$3:$G$100,2)="Mixta",VLOOKUP($B$8,LISTAS!$F$3:$G$100,2)="Menor 50%"),"No Aplica",LISTAS!AH60))</f>
        <v>O23302</v>
      </c>
      <c r="B76" s="350" t="str">
        <f>IF(A76="No Aplica","No Aplica",IF(A76=LISTAS!AH60,LISTAS!AI60,LISTAS!AP60))</f>
        <v>A empresas diferentes de subvenciones</v>
      </c>
      <c r="C76" s="331">
        <v>12013</v>
      </c>
      <c r="D76" s="332">
        <f t="shared" si="11"/>
        <v>1.2013E-6</v>
      </c>
      <c r="E76" s="331">
        <v>12013</v>
      </c>
      <c r="F76" s="332">
        <f t="shared" si="12"/>
        <v>1.0010833333333333E-6</v>
      </c>
      <c r="G76" s="333">
        <f t="shared" si="13"/>
        <v>0</v>
      </c>
      <c r="H76" s="332">
        <f t="shared" si="14"/>
        <v>0</v>
      </c>
      <c r="I76" s="328"/>
      <c r="J76" s="331">
        <v>12013</v>
      </c>
      <c r="K76" s="331"/>
      <c r="L76" s="331"/>
      <c r="M76" s="333">
        <f t="shared" si="9"/>
        <v>12013</v>
      </c>
      <c r="N76" s="331">
        <v>12013</v>
      </c>
      <c r="O76" s="332">
        <f t="shared" si="15"/>
        <v>1</v>
      </c>
      <c r="P76" s="331">
        <v>12013</v>
      </c>
      <c r="Q76" s="332">
        <f t="shared" si="16"/>
        <v>1</v>
      </c>
      <c r="R76" s="373"/>
      <c r="S76" s="329"/>
      <c r="AT76" s="380" t="str">
        <f t="shared" si="10"/>
        <v>O23302-A empresas diferentes de subvenciones</v>
      </c>
    </row>
    <row r="77" spans="1:46" x14ac:dyDescent="0.25">
      <c r="A77" s="349" t="str">
        <f>IF(OR(VLOOKUP($B$8,LISTAS!$F$3:$G$100,2)="Empresa Industrial y Comercial",VLOOKUP($B$8,LISTAS!$F$3:$G$100,2)="Subred"),LISTAS!AO61,IF(OR(VLOOKUP($B$8,LISTAS!$F$3:$G$100,2)="Mixta",VLOOKUP($B$8,LISTAS!$F$3:$G$100,2)="Menor 50%"),"No Aplica",LISTAS!AH61))</f>
        <v>O23305</v>
      </c>
      <c r="B77" s="350" t="str">
        <f>IF(A77="No Aplica","No Aplica",IF(A77=LISTAS!AH61,LISTAS!AI61,LISTAS!AP61))</f>
        <v>A entidades del gobierno</v>
      </c>
      <c r="C77" s="331">
        <v>12014</v>
      </c>
      <c r="D77" s="332">
        <f t="shared" si="11"/>
        <v>1.2014000000000001E-6</v>
      </c>
      <c r="E77" s="331">
        <v>12014</v>
      </c>
      <c r="F77" s="332">
        <f t="shared" si="12"/>
        <v>1.0011666666666666E-6</v>
      </c>
      <c r="G77" s="333">
        <f t="shared" si="13"/>
        <v>0</v>
      </c>
      <c r="H77" s="332">
        <f t="shared" si="14"/>
        <v>0</v>
      </c>
      <c r="I77" s="328"/>
      <c r="J77" s="331">
        <v>12014</v>
      </c>
      <c r="K77" s="331"/>
      <c r="L77" s="331"/>
      <c r="M77" s="333">
        <f t="shared" si="9"/>
        <v>12014</v>
      </c>
      <c r="N77" s="331">
        <v>12014</v>
      </c>
      <c r="O77" s="332">
        <f t="shared" si="15"/>
        <v>1</v>
      </c>
      <c r="P77" s="331">
        <v>12014</v>
      </c>
      <c r="Q77" s="332">
        <f t="shared" si="16"/>
        <v>1</v>
      </c>
      <c r="R77" s="373"/>
      <c r="S77" s="329"/>
      <c r="AT77" s="380" t="str">
        <f t="shared" si="10"/>
        <v>O23305-A entidades del gobierno</v>
      </c>
    </row>
    <row r="78" spans="1:46" x14ac:dyDescent="0.25">
      <c r="A78" s="349" t="str">
        <f>IF(OR(VLOOKUP($B$8,LISTAS!$F$3:$G$100,2)="Empresa Industrial y Comercial",VLOOKUP($B$8,LISTAS!$F$3:$G$100,2)="Subred"),LISTAS!AO62,IF(OR(VLOOKUP($B$8,LISTAS!$F$3:$G$100,2)="Mixta",VLOOKUP($B$8,LISTAS!$F$3:$G$100,2)="Menor 50%"),"No Aplica",LISTAS!AH62))</f>
        <v>O23307</v>
      </c>
      <c r="B78" s="350" t="str">
        <f>IF(A78="No Aplica","No Aplica",IF(A78=LISTAS!AH62,LISTAS!AI62,LISTAS!AP62))</f>
        <v>Prestaciones para cubrir riesgos sociales</v>
      </c>
      <c r="C78" s="331">
        <v>12015</v>
      </c>
      <c r="D78" s="332">
        <f t="shared" si="11"/>
        <v>1.2015000000000001E-6</v>
      </c>
      <c r="E78" s="331">
        <v>12015</v>
      </c>
      <c r="F78" s="332">
        <f t="shared" si="12"/>
        <v>1.0012499999999999E-6</v>
      </c>
      <c r="G78" s="333">
        <f t="shared" si="13"/>
        <v>0</v>
      </c>
      <c r="H78" s="332">
        <f t="shared" si="14"/>
        <v>0</v>
      </c>
      <c r="I78" s="328"/>
      <c r="J78" s="331">
        <v>12015</v>
      </c>
      <c r="K78" s="331"/>
      <c r="L78" s="331"/>
      <c r="M78" s="333">
        <f t="shared" si="9"/>
        <v>12015</v>
      </c>
      <c r="N78" s="331">
        <v>12015</v>
      </c>
      <c r="O78" s="332">
        <f t="shared" si="15"/>
        <v>1</v>
      </c>
      <c r="P78" s="331">
        <v>12015</v>
      </c>
      <c r="Q78" s="332">
        <f t="shared" si="16"/>
        <v>1</v>
      </c>
      <c r="R78" s="373"/>
      <c r="S78" s="329"/>
      <c r="AT78" s="380" t="str">
        <f t="shared" si="10"/>
        <v>O23307-Prestaciones para cubrir riesgos sociales</v>
      </c>
    </row>
    <row r="79" spans="1:46" x14ac:dyDescent="0.25">
      <c r="A79" s="349" t="str">
        <f>IF(OR(VLOOKUP($B$8,LISTAS!$F$3:$G$100,2)="Empresa Industrial y Comercial",VLOOKUP($B$8,LISTAS!$F$3:$G$100,2)="Subred"),LISTAS!AO63,IF(OR(VLOOKUP($B$8,LISTAS!$F$3:$G$100,2)="Mixta",VLOOKUP($B$8,LISTAS!$F$3:$G$100,2)="Menor 50%"),"No Aplica",LISTAS!AH63))</f>
        <v>O23313</v>
      </c>
      <c r="B79" s="350" t="str">
        <f>IF(A79="No Aplica","No Aplica",IF(A79=LISTAS!AH63,LISTAS!AI63,LISTAS!AP63))</f>
        <v>Sentencias y conciliaciones</v>
      </c>
      <c r="C79" s="331">
        <v>12016</v>
      </c>
      <c r="D79" s="332">
        <f t="shared" si="11"/>
        <v>1.2016000000000001E-6</v>
      </c>
      <c r="E79" s="331">
        <v>12016</v>
      </c>
      <c r="F79" s="332">
        <f t="shared" si="12"/>
        <v>1.0013333333333332E-6</v>
      </c>
      <c r="G79" s="333">
        <f t="shared" si="13"/>
        <v>0</v>
      </c>
      <c r="H79" s="332">
        <f t="shared" si="14"/>
        <v>0</v>
      </c>
      <c r="I79" s="328"/>
      <c r="J79" s="331">
        <v>12016</v>
      </c>
      <c r="K79" s="331"/>
      <c r="L79" s="331"/>
      <c r="M79" s="333">
        <f t="shared" si="9"/>
        <v>12016</v>
      </c>
      <c r="N79" s="331">
        <v>12016</v>
      </c>
      <c r="O79" s="332">
        <f t="shared" si="15"/>
        <v>1</v>
      </c>
      <c r="P79" s="331">
        <v>12016</v>
      </c>
      <c r="Q79" s="332">
        <f t="shared" si="16"/>
        <v>1</v>
      </c>
      <c r="R79" s="373"/>
      <c r="S79" s="329"/>
      <c r="AT79" s="380" t="str">
        <f t="shared" si="10"/>
        <v>O23313-Sentencias y conciliaciones</v>
      </c>
    </row>
    <row r="80" spans="1:46" x14ac:dyDescent="0.25">
      <c r="A80" s="349" t="str">
        <f>IF(OR(VLOOKUP($B$8,LISTAS!$F$3:$G$100,2)="Empresa Industrial y Comercial",VLOOKUP($B$8,LISTAS!$F$3:$G$100,2)="Subred"),LISTAS!AO64,IF(OR(VLOOKUP($B$8,LISTAS!$F$3:$G$100,2)="Mixta",VLOOKUP($B$8,LISTAS!$F$3:$G$100,2)="Menor 50%"),"No Aplica",LISTAS!AH64))</f>
        <v>O234</v>
      </c>
      <c r="B80" s="350" t="str">
        <f>IF(A80="No Aplica","No Aplica",IF(A80=LISTAS!AH64,LISTAS!AI64,LISTAS!AP64))</f>
        <v>Transferencias para INVERSIÓN</v>
      </c>
      <c r="C80" s="331">
        <v>12017</v>
      </c>
      <c r="D80" s="332">
        <f t="shared" si="11"/>
        <v>1.2017000000000001E-6</v>
      </c>
      <c r="E80" s="331">
        <v>12017</v>
      </c>
      <c r="F80" s="332">
        <f t="shared" si="12"/>
        <v>1.0014166666666668E-6</v>
      </c>
      <c r="G80" s="333">
        <f t="shared" si="13"/>
        <v>0</v>
      </c>
      <c r="H80" s="332">
        <f t="shared" si="14"/>
        <v>0</v>
      </c>
      <c r="I80" s="328"/>
      <c r="J80" s="331">
        <v>12017</v>
      </c>
      <c r="K80" s="331"/>
      <c r="L80" s="331"/>
      <c r="M80" s="333">
        <f t="shared" si="9"/>
        <v>12017</v>
      </c>
      <c r="N80" s="331">
        <v>12017</v>
      </c>
      <c r="O80" s="332">
        <f t="shared" si="15"/>
        <v>1</v>
      </c>
      <c r="P80" s="331">
        <v>12017</v>
      </c>
      <c r="Q80" s="332">
        <f t="shared" si="16"/>
        <v>1</v>
      </c>
      <c r="R80" s="373"/>
      <c r="S80" s="329"/>
      <c r="AT80" s="380" t="str">
        <f t="shared" si="10"/>
        <v>O234-Transferencias para INVERSIÓN</v>
      </c>
    </row>
    <row r="81" spans="1:46" x14ac:dyDescent="0.25">
      <c r="A81" s="349" t="str">
        <f>IF(OR(VLOOKUP($B$8,LISTAS!$F$3:$G$100,2)="Empresa Industrial y Comercial",VLOOKUP($B$8,LISTAS!$F$3:$G$100,2)="Subred"),LISTAS!AO65,IF(OR(VLOOKUP($B$8,LISTAS!$F$3:$G$100,2)="Mixta",VLOOKUP($B$8,LISTAS!$F$3:$G$100,2)="Menor 50%"),"No Aplica",LISTAS!AH65))</f>
        <v>O23401</v>
      </c>
      <c r="B81" s="350" t="str">
        <f>IF(A81="No Aplica","No Aplica",IF(A81=LISTAS!AH65,LISTAS!AI65,LISTAS!AP65))</f>
        <v>Transferencia Distrital</v>
      </c>
      <c r="C81" s="331">
        <v>12018</v>
      </c>
      <c r="D81" s="332">
        <f t="shared" si="11"/>
        <v>1.2018000000000001E-6</v>
      </c>
      <c r="E81" s="331">
        <v>12018</v>
      </c>
      <c r="F81" s="332">
        <f t="shared" si="12"/>
        <v>1.0015000000000001E-6</v>
      </c>
      <c r="G81" s="333">
        <f t="shared" si="13"/>
        <v>0</v>
      </c>
      <c r="H81" s="332">
        <f t="shared" si="14"/>
        <v>0</v>
      </c>
      <c r="I81" s="328"/>
      <c r="J81" s="331">
        <v>12018</v>
      </c>
      <c r="K81" s="331"/>
      <c r="L81" s="331"/>
      <c r="M81" s="333">
        <f t="shared" si="9"/>
        <v>12018</v>
      </c>
      <c r="N81" s="331">
        <v>12018</v>
      </c>
      <c r="O81" s="332">
        <f t="shared" si="15"/>
        <v>1</v>
      </c>
      <c r="P81" s="331">
        <v>12018</v>
      </c>
      <c r="Q81" s="332">
        <f t="shared" si="16"/>
        <v>1</v>
      </c>
      <c r="R81" s="373"/>
      <c r="S81" s="329"/>
      <c r="AT81" s="380" t="str">
        <f t="shared" si="10"/>
        <v>O23401-Transferencia Distrital</v>
      </c>
    </row>
    <row r="82" spans="1:46" ht="15" x14ac:dyDescent="0.25">
      <c r="A82" s="348" t="str">
        <f>IF(OR(VLOOKUP($B$8,LISTAS!$F$3:$G$100,2)="Empresa Industrial y Comercial",VLOOKUP($B$8,LISTAS!$F$3:$G$100,2)="Subred"),LISTAS!AO66,IF(OR(VLOOKUP($B$8,LISTAS!$F$3:$G$100,2)="Mixta",VLOOKUP($B$8,LISTAS!$F$3:$G$100,2)="Menor 50%"),"No Aplica",LISTAS!AH66))</f>
        <v>O4</v>
      </c>
      <c r="B82" s="137" t="str">
        <f>IF(A82="No Aplica","No Aplica",IF(A82=LISTAS!AH66,LISTAS!AI66,LISTAS!AP66))</f>
        <v>DISPONIBILIDAD FINAL</v>
      </c>
      <c r="C82" s="325">
        <v>12019</v>
      </c>
      <c r="D82" s="326">
        <f t="shared" si="11"/>
        <v>1.2019000000000001E-6</v>
      </c>
      <c r="E82" s="325">
        <v>12019</v>
      </c>
      <c r="F82" s="326">
        <f t="shared" si="12"/>
        <v>1.0015833333333334E-6</v>
      </c>
      <c r="G82" s="327">
        <f t="shared" si="13"/>
        <v>0</v>
      </c>
      <c r="H82" s="326">
        <f t="shared" si="14"/>
        <v>0</v>
      </c>
      <c r="I82" s="334"/>
      <c r="J82" s="325">
        <v>12019</v>
      </c>
      <c r="K82" s="325"/>
      <c r="L82" s="325"/>
      <c r="M82" s="327">
        <f t="shared" si="9"/>
        <v>12019</v>
      </c>
      <c r="N82" s="325">
        <v>12019</v>
      </c>
      <c r="O82" s="326">
        <f t="shared" si="15"/>
        <v>1</v>
      </c>
      <c r="P82" s="325">
        <v>12019</v>
      </c>
      <c r="Q82" s="326">
        <f t="shared" si="16"/>
        <v>1</v>
      </c>
      <c r="R82" s="65"/>
      <c r="S82" s="329"/>
      <c r="AT82" s="380" t="str">
        <f t="shared" si="10"/>
        <v>O4-DISPONIBILIDAD FINAL</v>
      </c>
    </row>
    <row r="83" spans="1:46" ht="15" thickBot="1" x14ac:dyDescent="0.3">
      <c r="A83" s="351">
        <f>IF(OR(VLOOKUP($B$8,LISTAS!$F$3:$G$100,2)="Empresa Industrial y Comercial",VLOOKUP($B$8,LISTAS!$F$3:$G$100,2)="Subred"),LISTAS!AO67,IF(OR(VLOOKUP($B$8,LISTAS!$F$3:$G$100,2)="Mixta",VLOOKUP($B$8,LISTAS!$F$3:$G$100,2)="Menor 50%"),"No Aplica",LISTAS!AH67))</f>
        <v>0</v>
      </c>
      <c r="B83" s="352">
        <f>IF(A83="No Aplica","No Aplica",IF(A83=LISTAS!AH67,LISTAS!AI67,LISTAS!AP67))</f>
        <v>0</v>
      </c>
      <c r="C83" s="337">
        <v>12019</v>
      </c>
      <c r="D83" s="338">
        <f t="shared" si="11"/>
        <v>1.2019000000000001E-6</v>
      </c>
      <c r="E83" s="337">
        <v>12000</v>
      </c>
      <c r="F83" s="338">
        <f t="shared" si="12"/>
        <v>9.9999999999999995E-7</v>
      </c>
      <c r="G83" s="339">
        <f t="shared" si="13"/>
        <v>-19</v>
      </c>
      <c r="H83" s="338">
        <f t="shared" si="14"/>
        <v>-1.5833333333333333E-3</v>
      </c>
      <c r="I83" s="340"/>
      <c r="J83" s="337">
        <v>12000</v>
      </c>
      <c r="K83" s="337"/>
      <c r="L83" s="337"/>
      <c r="M83" s="339">
        <f t="shared" si="9"/>
        <v>12000</v>
      </c>
      <c r="N83" s="337">
        <v>12000</v>
      </c>
      <c r="O83" s="338">
        <f t="shared" si="15"/>
        <v>1</v>
      </c>
      <c r="P83" s="337">
        <v>12000</v>
      </c>
      <c r="Q83" s="338">
        <f t="shared" si="16"/>
        <v>1</v>
      </c>
      <c r="R83" s="275"/>
      <c r="S83" s="341"/>
      <c r="AT83" s="380" t="str">
        <f>CONCATENATE(A83,"-",B83)</f>
        <v>0-0</v>
      </c>
    </row>
    <row r="84" spans="1:46" ht="15" customHeight="1" x14ac:dyDescent="0.25">
      <c r="A84" s="435" t="s">
        <v>574</v>
      </c>
      <c r="B84" s="436"/>
      <c r="C84" s="439" t="s">
        <v>409</v>
      </c>
      <c r="D84" s="439"/>
      <c r="E84" s="439"/>
      <c r="F84" s="439"/>
      <c r="G84" s="439"/>
      <c r="H84" s="439"/>
      <c r="I84" s="439"/>
      <c r="J84" s="441" t="s">
        <v>410</v>
      </c>
      <c r="K84" s="439"/>
      <c r="L84" s="439"/>
      <c r="M84" s="439"/>
      <c r="N84" s="439"/>
      <c r="O84" s="439"/>
      <c r="P84" s="439"/>
      <c r="Q84" s="439"/>
      <c r="R84" s="439"/>
      <c r="S84" s="321"/>
      <c r="AT84" s="380"/>
    </row>
    <row r="85" spans="1:46" ht="45" customHeight="1" thickBot="1" x14ac:dyDescent="0.3">
      <c r="A85" s="437"/>
      <c r="B85" s="438"/>
      <c r="C85" s="440"/>
      <c r="D85" s="440"/>
      <c r="E85" s="440"/>
      <c r="F85" s="440"/>
      <c r="G85" s="440"/>
      <c r="H85" s="440"/>
      <c r="I85" s="440"/>
      <c r="J85" s="442"/>
      <c r="K85" s="440"/>
      <c r="L85" s="440"/>
      <c r="M85" s="440"/>
      <c r="N85" s="440"/>
      <c r="O85" s="440"/>
      <c r="P85" s="440"/>
      <c r="Q85" s="440"/>
      <c r="R85" s="440"/>
      <c r="S85" s="322" t="s">
        <v>311</v>
      </c>
    </row>
    <row r="86" spans="1:46" ht="24" customHeight="1" x14ac:dyDescent="0.25">
      <c r="A86" s="443" t="s">
        <v>576</v>
      </c>
      <c r="B86" s="431" t="s">
        <v>575</v>
      </c>
      <c r="C86" s="443" t="s">
        <v>538</v>
      </c>
      <c r="D86" s="433" t="s">
        <v>539</v>
      </c>
      <c r="E86" s="433" t="s">
        <v>548</v>
      </c>
      <c r="F86" s="433" t="s">
        <v>549</v>
      </c>
      <c r="G86" s="433" t="s">
        <v>321</v>
      </c>
      <c r="H86" s="433" t="s">
        <v>312</v>
      </c>
      <c r="I86" s="431" t="s">
        <v>313</v>
      </c>
      <c r="J86" s="443" t="s">
        <v>405</v>
      </c>
      <c r="K86" s="433" t="s">
        <v>406</v>
      </c>
      <c r="L86" s="433"/>
      <c r="M86" s="433" t="s">
        <v>550</v>
      </c>
      <c r="N86" s="433" t="s">
        <v>551</v>
      </c>
      <c r="O86" s="433" t="s">
        <v>552</v>
      </c>
      <c r="P86" s="433" t="s">
        <v>553</v>
      </c>
      <c r="Q86" s="433" t="s">
        <v>554</v>
      </c>
      <c r="R86" s="433" t="s">
        <v>323</v>
      </c>
      <c r="S86" s="431" t="s">
        <v>322</v>
      </c>
    </row>
    <row r="87" spans="1:46" ht="45" customHeight="1" thickBot="1" x14ac:dyDescent="0.3">
      <c r="A87" s="444"/>
      <c r="B87" s="432"/>
      <c r="C87" s="444"/>
      <c r="D87" s="434"/>
      <c r="E87" s="434"/>
      <c r="F87" s="434"/>
      <c r="G87" s="434"/>
      <c r="H87" s="434"/>
      <c r="I87" s="432"/>
      <c r="J87" s="444"/>
      <c r="K87" s="360" t="s">
        <v>407</v>
      </c>
      <c r="L87" s="360" t="s">
        <v>408</v>
      </c>
      <c r="M87" s="434"/>
      <c r="N87" s="434"/>
      <c r="O87" s="434"/>
      <c r="P87" s="434"/>
      <c r="Q87" s="434"/>
      <c r="R87" s="434"/>
      <c r="S87" s="432"/>
    </row>
    <row r="88" spans="1:46" ht="45" customHeight="1" x14ac:dyDescent="0.25">
      <c r="A88" s="353" t="str">
        <f>IF(OR(VLOOKUP($B$8,LISTAS!$F$3:$G$100,2)="Empresa Industrial y Comercial",VLOOKUP($B$8,LISTAS!$F$3:$G$100,2)="Subred"),LISTAS!AO70,IF(OR(VLOOKUP($B$8,LISTAS!$F$3:$G$100,2)="Mixta",VLOOKUP($B$8,LISTAS!$F$3:$G$100,2)="Menor 50%"),"No Aplica",""))</f>
        <v/>
      </c>
      <c r="B88" s="354" t="str">
        <f>IF(A88="No Aplica","No Aplica",IF(A88="","",LISTAS!AP70))</f>
        <v/>
      </c>
      <c r="C88" s="325"/>
      <c r="D88" s="326" t="str">
        <f>IF(C88="","",C88/$C$88)</f>
        <v/>
      </c>
      <c r="E88" s="325">
        <v>120000</v>
      </c>
      <c r="F88" s="326">
        <f>IF(E88="","",E88/$E$88)</f>
        <v>1</v>
      </c>
      <c r="G88" s="327">
        <f t="shared" ref="G88" si="17">IF(AND(C88="",E88=""),"",E88-C88)</f>
        <v>120000</v>
      </c>
      <c r="H88" s="326">
        <f t="shared" ref="H88" si="18">IF(E88="",G88/C88,G88/E88)</f>
        <v>1</v>
      </c>
      <c r="I88" s="328"/>
      <c r="J88" s="325">
        <v>12000</v>
      </c>
      <c r="K88" s="325"/>
      <c r="L88" s="325"/>
      <c r="M88" s="327">
        <f t="shared" ref="M88:M96" si="19">IF(J88="","",J88-K88+L88)</f>
        <v>12000</v>
      </c>
      <c r="N88" s="325">
        <v>255555555</v>
      </c>
      <c r="O88" s="326">
        <f t="shared" ref="O88:O96" si="20">IF(OR(E88="",N88=""),"",N88/E88)</f>
        <v>2129.629625</v>
      </c>
      <c r="P88" s="325">
        <v>12000</v>
      </c>
      <c r="Q88" s="326">
        <f t="shared" ref="Q88:Q96" si="21">IF(OR(E88="",P88=""),"",P88/E88)</f>
        <v>0.1</v>
      </c>
      <c r="R88" s="65"/>
      <c r="S88" s="328"/>
      <c r="AT88" s="380" t="str">
        <f t="shared" ref="AT88:AT96" si="22">CONCATENATE(A88,"-",B88)</f>
        <v>-</v>
      </c>
    </row>
    <row r="89" spans="1:46" ht="45" customHeight="1" x14ac:dyDescent="0.25">
      <c r="A89" s="353" t="str">
        <f>IF(OR(VLOOKUP($B$8,LISTAS!$F$3:$G$100,2)="Empresa Industrial y Comercial",VLOOKUP($B$8,LISTAS!$F$3:$G$100,2)="Subred"),LISTAS!AO71,IF(OR(VLOOKUP($B$8,LISTAS!$F$3:$G$100,2)="Mixta",VLOOKUP($B$8,LISTAS!$F$3:$G$100,2)="Menor 50%"),"No Aplica",""))</f>
        <v/>
      </c>
      <c r="B89" s="354" t="str">
        <f>IF(A89="No Aplica","No Aplica",IF(A89="","",LISTAS!AP71))</f>
        <v/>
      </c>
      <c r="C89" s="325"/>
      <c r="D89" s="326" t="str">
        <f t="shared" ref="D89:D90" si="23">IF(C89="","",C89/$C$88)</f>
        <v/>
      </c>
      <c r="E89" s="325">
        <v>12000</v>
      </c>
      <c r="F89" s="326">
        <f t="shared" ref="F89:F90" si="24">IF(E89="","",E89/$E$88)</f>
        <v>0.1</v>
      </c>
      <c r="G89" s="327">
        <f t="shared" ref="G89:G96" si="25">IF(AND(C89="",E89=""),"",E89-C89)</f>
        <v>12000</v>
      </c>
      <c r="H89" s="326">
        <f t="shared" ref="H89:H95" si="26">IF(E89="",G89/C89,G89/E89)</f>
        <v>1</v>
      </c>
      <c r="I89" s="328"/>
      <c r="J89" s="325">
        <v>12000</v>
      </c>
      <c r="K89" s="325"/>
      <c r="L89" s="325"/>
      <c r="M89" s="327">
        <f t="shared" si="19"/>
        <v>12000</v>
      </c>
      <c r="N89" s="325">
        <v>12000</v>
      </c>
      <c r="O89" s="326">
        <f t="shared" si="20"/>
        <v>1</v>
      </c>
      <c r="P89" s="325">
        <v>12000</v>
      </c>
      <c r="Q89" s="326">
        <f t="shared" si="21"/>
        <v>1</v>
      </c>
      <c r="R89" s="65" t="s">
        <v>76</v>
      </c>
      <c r="S89" s="328"/>
      <c r="AT89" s="380" t="str">
        <f t="shared" si="22"/>
        <v>-</v>
      </c>
    </row>
    <row r="90" spans="1:46" ht="45" customHeight="1" x14ac:dyDescent="0.25">
      <c r="A90" s="353" t="str">
        <f>IF(OR(VLOOKUP($B$8,LISTAS!$F$3:$G$100,2)="Empresa Industrial y Comercial",VLOOKUP($B$8,LISTAS!$F$3:$G$100,2)="Subred"),LISTAS!AO72,IF(OR(VLOOKUP($B$8,LISTAS!$F$3:$G$100,2)="Mixta",VLOOKUP($B$8,LISTAS!$F$3:$G$100,2)="Menor 50%"),"No Aplica",""))</f>
        <v/>
      </c>
      <c r="B90" s="354" t="str">
        <f>IF(A90="No Aplica","No Aplica",IF(A90="","",LISTAS!AP72))</f>
        <v/>
      </c>
      <c r="C90" s="325"/>
      <c r="D90" s="326" t="str">
        <f t="shared" si="23"/>
        <v/>
      </c>
      <c r="E90" s="325">
        <v>12000</v>
      </c>
      <c r="F90" s="326">
        <f t="shared" si="24"/>
        <v>0.1</v>
      </c>
      <c r="G90" s="327">
        <f t="shared" si="25"/>
        <v>12000</v>
      </c>
      <c r="H90" s="326">
        <f t="shared" si="26"/>
        <v>1</v>
      </c>
      <c r="I90" s="328"/>
      <c r="J90" s="325">
        <v>12000</v>
      </c>
      <c r="K90" s="325"/>
      <c r="L90" s="325"/>
      <c r="M90" s="327">
        <f t="shared" si="19"/>
        <v>12000</v>
      </c>
      <c r="N90" s="325">
        <v>12000</v>
      </c>
      <c r="O90" s="326">
        <f t="shared" si="20"/>
        <v>1</v>
      </c>
      <c r="P90" s="325">
        <v>12000</v>
      </c>
      <c r="Q90" s="326">
        <f t="shared" si="21"/>
        <v>1</v>
      </c>
      <c r="R90" s="65"/>
      <c r="S90" s="328"/>
      <c r="AT90" s="380" t="str">
        <f t="shared" si="22"/>
        <v>-</v>
      </c>
    </row>
    <row r="91" spans="1:46" ht="15" customHeight="1" x14ac:dyDescent="0.25">
      <c r="A91" s="353">
        <f>IF(OR(VLOOKUP($B$8,LISTAS!$F$3:$G$100,2)="Empresa Industrial y Comercial",VLOOKUP($B$8,LISTAS!$F$3:$G$100,2)="Subred",VLOOKUP($B$8,LISTAS!$F$3:$G$100,2)="FDL"),"",IF(OR(VLOOKUP($B$8,LISTAS!$F$3:$G$100,2)="Mixta",VLOOKUP($B$8,LISTAS!$F$3:$G$100,2)="Menor 50%"),"No Aplica",LISTAS!AH73))</f>
        <v>16</v>
      </c>
      <c r="B91" s="354" t="str">
        <f>IF(A91="No Aplica","No Aplica",IF(A91=LISTAS!AH73,LISTAS!AI73,IF(OR(VLOOKUP($B$8,LISTAS!$F$3:$G$100,2)="Empresa Industrial y Comercial",VLOOKUP($B$8,LISTAS!$F$3:$G$100,2)="Subred"),"","")))</f>
        <v>RESERVAS PRESUPUESTALES CONSTITUIDAS</v>
      </c>
      <c r="C91" s="325">
        <v>1201800</v>
      </c>
      <c r="D91" s="326">
        <f>IF(C91="","",C91/C91)</f>
        <v>1</v>
      </c>
      <c r="E91" s="325">
        <v>1500000</v>
      </c>
      <c r="F91" s="326">
        <f>IF(E91="","",E91/E91)</f>
        <v>1</v>
      </c>
      <c r="G91" s="327">
        <f t="shared" si="25"/>
        <v>298200</v>
      </c>
      <c r="H91" s="326">
        <f t="shared" si="26"/>
        <v>0.1988</v>
      </c>
      <c r="I91" s="328"/>
      <c r="J91" s="325">
        <v>12000</v>
      </c>
      <c r="K91" s="325"/>
      <c r="L91" s="325"/>
      <c r="M91" s="327">
        <f t="shared" si="19"/>
        <v>12000</v>
      </c>
      <c r="N91" s="325">
        <v>120000000</v>
      </c>
      <c r="O91" s="326">
        <f t="shared" si="20"/>
        <v>80</v>
      </c>
      <c r="P91" s="325">
        <v>12000</v>
      </c>
      <c r="Q91" s="326">
        <f t="shared" si="21"/>
        <v>8.0000000000000002E-3</v>
      </c>
      <c r="R91" s="65"/>
      <c r="S91" s="328"/>
      <c r="AT91" s="380" t="str">
        <f t="shared" si="22"/>
        <v>16-RESERVAS PRESUPUESTALES CONSTITUIDAS</v>
      </c>
    </row>
    <row r="92" spans="1:46" ht="15" customHeight="1" x14ac:dyDescent="0.25">
      <c r="A92" s="353">
        <f>IF(OR(VLOOKUP($B$8,LISTAS!$F$3:$G$100,2)="Empresa Industrial y Comercial",VLOOKUP($B$8,LISTAS!$F$3:$G$100,2)="Subred",VLOOKUP($B$8,LISTAS!$F$3:$G$100,2)="FDL"),"",IF(OR(VLOOKUP($B$8,LISTAS!$F$3:$G$100,2)="Mixta",VLOOKUP($B$8,LISTAS!$F$3:$G$100,2)="Menor 50%"),"No Aplica",LISTAS!AH74))</f>
        <v>17</v>
      </c>
      <c r="B92" s="354" t="str">
        <f>IF(A92="No Aplica","No Aplica",IF(A92=LISTAS!AH74,LISTAS!AI74,""))</f>
        <v>CUENTAS POR PAGAR en poder del Tesorero</v>
      </c>
      <c r="C92" s="325">
        <v>1201800</v>
      </c>
      <c r="D92" s="326">
        <f t="shared" ref="D92:D96" si="27">IF(C92="","",C92/C92)</f>
        <v>1</v>
      </c>
      <c r="E92" s="325">
        <v>1500000</v>
      </c>
      <c r="F92" s="326">
        <f t="shared" ref="F92:F96" si="28">IF(E92="","",E92/E92)</f>
        <v>1</v>
      </c>
      <c r="G92" s="327">
        <f t="shared" si="25"/>
        <v>298200</v>
      </c>
      <c r="H92" s="326">
        <f t="shared" si="26"/>
        <v>0.1988</v>
      </c>
      <c r="I92" s="328"/>
      <c r="J92" s="325">
        <v>12001</v>
      </c>
      <c r="K92" s="325"/>
      <c r="L92" s="325"/>
      <c r="M92" s="327">
        <f t="shared" si="19"/>
        <v>12001</v>
      </c>
      <c r="N92" s="325">
        <v>120000000</v>
      </c>
      <c r="O92" s="326">
        <f t="shared" si="20"/>
        <v>80</v>
      </c>
      <c r="P92" s="325">
        <v>12001</v>
      </c>
      <c r="Q92" s="326">
        <f t="shared" si="21"/>
        <v>8.0006666666666663E-3</v>
      </c>
      <c r="R92" s="65"/>
      <c r="S92" s="328"/>
      <c r="AT92" s="380" t="str">
        <f t="shared" si="22"/>
        <v>17-CUENTAS POR PAGAR en poder del Tesorero</v>
      </c>
    </row>
    <row r="93" spans="1:46" ht="15" x14ac:dyDescent="0.25">
      <c r="A93" s="353" t="str">
        <f>IF(OR(VLOOKUP($B$8,LISTAS!$F$3:$G$100,2)="Empresa Industrial y Comercial",VLOOKUP($B$8,LISTAS!$F$3:$G$100,2)="Subred"),LISTAS!AO75,IF(OR(VLOOKUP($B$8,LISTAS!$F$3:$G$100,2)="Mixta",VLOOKUP($B$8,LISTAS!$F$3:$G$100,2)="Menor 50%"),"No Aplica",IF(VLOOKUP($B$8,LISTAS!$F$3:$G$100,2)="FDL",LISTAS!AH75,"")))</f>
        <v/>
      </c>
      <c r="B93" s="354" t="str">
        <f>IF(A93="No Aplica","No Aplica",IF(A93=LISTAS!AH75,LISTAS!AI75,IF(OR(VLOOKUP($B$8,LISTAS!$F$3:$G$100,2)="Empresa Industrial y Comercial",VLOOKUP($B$8,LISTAS!$F$3:$G$100,2)="Subred"),LISTAS!AP75,"")))</f>
        <v/>
      </c>
      <c r="C93" s="325"/>
      <c r="D93" s="326" t="str">
        <f t="shared" si="27"/>
        <v/>
      </c>
      <c r="E93" s="325">
        <v>1500000</v>
      </c>
      <c r="F93" s="326">
        <f t="shared" si="28"/>
        <v>1</v>
      </c>
      <c r="G93" s="327">
        <f t="shared" si="25"/>
        <v>1500000</v>
      </c>
      <c r="H93" s="326">
        <f t="shared" si="26"/>
        <v>1</v>
      </c>
      <c r="I93" s="328"/>
      <c r="J93" s="325">
        <v>12001</v>
      </c>
      <c r="K93" s="325"/>
      <c r="L93" s="325"/>
      <c r="M93" s="327">
        <f t="shared" si="19"/>
        <v>12001</v>
      </c>
      <c r="N93" s="325">
        <v>120000000</v>
      </c>
      <c r="O93" s="326">
        <f t="shared" si="20"/>
        <v>80</v>
      </c>
      <c r="P93" s="325">
        <v>12001</v>
      </c>
      <c r="Q93" s="326">
        <f t="shared" si="21"/>
        <v>8.0006666666666663E-3</v>
      </c>
      <c r="R93" s="65"/>
      <c r="S93" s="328"/>
      <c r="AT93" s="380" t="str">
        <f t="shared" si="22"/>
        <v>-</v>
      </c>
    </row>
    <row r="94" spans="1:46" ht="15" x14ac:dyDescent="0.25">
      <c r="A94" s="353">
        <f>IF(OR(VLOOKUP($B$8,LISTAS!$F$3:$G$100,2)="Empresa Industrial y Comercial",VLOOKUP($B$8,LISTAS!$F$3:$G$100,2)="Subred"),"",IF(OR(VLOOKUP($B$8,LISTAS!$F$3:$G$100,2)="Mixta",VLOOKUP($B$8,LISTAS!$F$3:$G$100,2)="Menor 50%"),"No Aplica",LISTAS!AH76))</f>
        <v>19</v>
      </c>
      <c r="B94" s="354" t="str">
        <f>IF(A94="No Aplica","No Aplica",IF(A94=LISTAS!AH76,LISTAS!AI76,IF(OR(VLOOKUP($B$8,LISTAS!$F$3:$G$100,2)="Empresa Industrial y Comercial",VLOOKUP($B$8,LISTAS!$F$3:$G$100,2)="Subred"),"")))</f>
        <v>PASIVOS EXIGIBLES</v>
      </c>
      <c r="C94" s="325">
        <v>1201800</v>
      </c>
      <c r="D94" s="326">
        <f t="shared" si="27"/>
        <v>1</v>
      </c>
      <c r="E94" s="325">
        <v>1500000</v>
      </c>
      <c r="F94" s="326">
        <f t="shared" si="28"/>
        <v>1</v>
      </c>
      <c r="G94" s="327">
        <f t="shared" si="25"/>
        <v>298200</v>
      </c>
      <c r="H94" s="326">
        <f t="shared" si="26"/>
        <v>0.1988</v>
      </c>
      <c r="I94" s="328"/>
      <c r="J94" s="325">
        <v>12002</v>
      </c>
      <c r="K94" s="325"/>
      <c r="L94" s="325"/>
      <c r="M94" s="327">
        <f t="shared" si="19"/>
        <v>12002</v>
      </c>
      <c r="N94" s="325">
        <v>120000000</v>
      </c>
      <c r="O94" s="326">
        <f t="shared" si="20"/>
        <v>80</v>
      </c>
      <c r="P94" s="325">
        <v>12002</v>
      </c>
      <c r="Q94" s="326">
        <f t="shared" si="21"/>
        <v>8.0013333333333325E-3</v>
      </c>
      <c r="R94" s="65"/>
      <c r="S94" s="328"/>
      <c r="AT94" s="380" t="str">
        <f t="shared" si="22"/>
        <v>19-PASIVOS EXIGIBLES</v>
      </c>
    </row>
    <row r="95" spans="1:46" ht="15" x14ac:dyDescent="0.25">
      <c r="A95" s="353">
        <f>IF(OR(VLOOKUP($B$8,LISTAS!$F$3:$G$100,2)="Empresa Industrial y Comercial",VLOOKUP($B$8,LISTAS!$F$3:$G$100,2)="Subred"),"",IF(OR(VLOOKUP($B$8,LISTAS!$F$3:$G$100,2)="Mixta",VLOOKUP($B$8,LISTAS!$F$3:$G$100,2)="Menor 50%"),"No Aplica",LISTAS!AH77))</f>
        <v>20</v>
      </c>
      <c r="B95" s="354" t="str">
        <f>IF(A95="No Aplica","No Aplica",IF(A95=LISTAS!AH77,LISTAS!AI77,IF(OR(VLOOKUP($B$8,LISTAS!$F$3:$G$100,2)="Empresa Industrial y Comercial",VLOOKUP($B$8,LISTAS!$F$3:$G$100,2)="Subred"),"")))</f>
        <v>VIGENCIAS FUTURAS</v>
      </c>
      <c r="C95" s="325"/>
      <c r="D95" s="326" t="str">
        <f t="shared" si="27"/>
        <v/>
      </c>
      <c r="E95" s="325">
        <v>1500000</v>
      </c>
      <c r="F95" s="326">
        <f t="shared" si="28"/>
        <v>1</v>
      </c>
      <c r="G95" s="327">
        <f t="shared" si="25"/>
        <v>1500000</v>
      </c>
      <c r="H95" s="326">
        <f t="shared" si="26"/>
        <v>1</v>
      </c>
      <c r="I95" s="328"/>
      <c r="J95" s="325">
        <v>12003</v>
      </c>
      <c r="K95" s="325"/>
      <c r="L95" s="325"/>
      <c r="M95" s="327">
        <f t="shared" si="19"/>
        <v>12003</v>
      </c>
      <c r="N95" s="325">
        <v>120000000</v>
      </c>
      <c r="O95" s="326">
        <f t="shared" si="20"/>
        <v>80</v>
      </c>
      <c r="P95" s="325">
        <v>12003</v>
      </c>
      <c r="Q95" s="326">
        <f t="shared" si="21"/>
        <v>8.0020000000000004E-3</v>
      </c>
      <c r="R95" s="65"/>
      <c r="S95" s="328"/>
      <c r="AT95" s="380" t="str">
        <f t="shared" si="22"/>
        <v>20-VIGENCIAS FUTURAS</v>
      </c>
    </row>
    <row r="96" spans="1:46" ht="15" x14ac:dyDescent="0.25">
      <c r="A96" s="353"/>
      <c r="B96" s="32"/>
      <c r="C96" s="325"/>
      <c r="D96" s="326" t="str">
        <f t="shared" si="27"/>
        <v/>
      </c>
      <c r="E96" s="325"/>
      <c r="F96" s="326" t="str">
        <f t="shared" si="28"/>
        <v/>
      </c>
      <c r="G96" s="327" t="str">
        <f t="shared" si="25"/>
        <v/>
      </c>
      <c r="H96" s="326"/>
      <c r="I96" s="328"/>
      <c r="J96" s="325"/>
      <c r="K96" s="325"/>
      <c r="L96" s="325"/>
      <c r="M96" s="327" t="str">
        <f t="shared" si="19"/>
        <v/>
      </c>
      <c r="N96" s="325"/>
      <c r="O96" s="326" t="str">
        <f t="shared" si="20"/>
        <v/>
      </c>
      <c r="P96" s="325"/>
      <c r="Q96" s="326" t="str">
        <f t="shared" si="21"/>
        <v/>
      </c>
      <c r="R96" s="65"/>
      <c r="S96" s="328"/>
      <c r="AT96" s="380" t="str">
        <f t="shared" si="22"/>
        <v>-</v>
      </c>
    </row>
    <row r="97" spans="1:46" ht="24" customHeight="1" x14ac:dyDescent="0.25">
      <c r="A97" s="466" t="s">
        <v>555</v>
      </c>
      <c r="B97" s="466"/>
      <c r="C97" s="425" t="s">
        <v>797</v>
      </c>
      <c r="D97" s="426"/>
      <c r="E97" s="426"/>
      <c r="F97" s="427"/>
      <c r="G97" s="424"/>
      <c r="H97" s="424"/>
      <c r="I97" s="424"/>
      <c r="J97" s="424"/>
      <c r="K97" s="424"/>
      <c r="L97" s="424"/>
      <c r="M97" s="424"/>
      <c r="N97" s="424"/>
      <c r="O97" s="424"/>
      <c r="P97" s="424"/>
      <c r="Q97" s="424"/>
      <c r="R97" s="424"/>
      <c r="S97" s="424"/>
      <c r="AT97" s="380"/>
    </row>
    <row r="98" spans="1:46" ht="32.25" customHeight="1" x14ac:dyDescent="0.25">
      <c r="A98" s="466"/>
      <c r="B98" s="466"/>
      <c r="C98" s="428"/>
      <c r="D98" s="429"/>
      <c r="E98" s="429"/>
      <c r="F98" s="430"/>
      <c r="G98" s="424"/>
      <c r="H98" s="424"/>
      <c r="I98" s="424"/>
      <c r="J98" s="424"/>
      <c r="K98" s="424"/>
      <c r="L98" s="424"/>
      <c r="M98" s="424"/>
      <c r="N98" s="424"/>
      <c r="O98" s="424"/>
      <c r="P98" s="424"/>
      <c r="Q98" s="424"/>
      <c r="R98" s="424"/>
      <c r="S98" s="424"/>
      <c r="AT98" s="380"/>
    </row>
    <row r="99" spans="1:46" ht="15" x14ac:dyDescent="0.25">
      <c r="A99" s="355"/>
      <c r="B99" s="355"/>
      <c r="C99" s="356"/>
      <c r="D99" s="356"/>
      <c r="E99" s="356"/>
      <c r="F99" s="356"/>
      <c r="G99" s="356"/>
      <c r="H99" s="356"/>
      <c r="I99" s="356"/>
      <c r="J99" s="356"/>
      <c r="K99" s="356"/>
      <c r="L99" s="356"/>
      <c r="M99" s="356"/>
      <c r="N99" s="356"/>
      <c r="O99" s="356"/>
      <c r="P99" s="356"/>
      <c r="Q99" s="356"/>
      <c r="R99" s="356"/>
      <c r="S99" s="356"/>
      <c r="AT99" s="380" t="str">
        <f>CONCATENATE(A96,"-",B96)</f>
        <v>-</v>
      </c>
    </row>
    <row r="100" spans="1:46" ht="15" thickBot="1" x14ac:dyDescent="0.3">
      <c r="A100" s="1"/>
      <c r="C100" s="1"/>
      <c r="D100" s="1"/>
      <c r="E100" s="1"/>
      <c r="F100" s="1"/>
      <c r="G100" s="61"/>
      <c r="H100" s="61"/>
      <c r="I100" s="61"/>
      <c r="J100" s="61"/>
      <c r="K100" s="61"/>
      <c r="L100" s="61"/>
      <c r="M100" s="61"/>
      <c r="N100" s="61"/>
      <c r="O100" s="61"/>
      <c r="P100" s="61"/>
      <c r="Q100" s="61"/>
      <c r="R100" s="61"/>
    </row>
    <row r="101" spans="1:46" ht="71.25" customHeight="1" x14ac:dyDescent="0.25">
      <c r="A101" s="455" t="s">
        <v>318</v>
      </c>
      <c r="B101" s="457"/>
      <c r="C101" s="457"/>
      <c r="D101" s="458"/>
      <c r="E101" s="1"/>
      <c r="F101" s="1"/>
      <c r="G101" s="66"/>
      <c r="H101" s="66"/>
      <c r="I101" s="66"/>
      <c r="J101" s="66"/>
      <c r="K101" s="66"/>
      <c r="L101" s="66"/>
      <c r="M101" s="66"/>
      <c r="N101" s="66"/>
      <c r="O101" s="66"/>
      <c r="P101" s="66"/>
      <c r="Q101" s="66"/>
      <c r="R101" s="377"/>
    </row>
    <row r="102" spans="1:46" ht="88.5" customHeight="1" thickBot="1" x14ac:dyDescent="0.3">
      <c r="A102" s="456"/>
      <c r="B102" s="459"/>
      <c r="C102" s="459"/>
      <c r="D102" s="460"/>
      <c r="E102" s="1"/>
      <c r="F102" s="1"/>
      <c r="G102" s="66"/>
      <c r="H102" s="66"/>
      <c r="I102" s="66"/>
      <c r="J102" s="66"/>
      <c r="K102" s="66"/>
      <c r="L102" s="66"/>
      <c r="M102" s="66"/>
      <c r="N102" s="66"/>
      <c r="O102" s="66"/>
      <c r="P102" s="66"/>
      <c r="Q102" s="66"/>
      <c r="R102" s="377"/>
    </row>
    <row r="103" spans="1:46" ht="15" thickBot="1" x14ac:dyDescent="0.3">
      <c r="B103" s="67" t="s">
        <v>325</v>
      </c>
      <c r="C103" s="67" t="s">
        <v>326</v>
      </c>
    </row>
    <row r="104" spans="1:46" ht="33" customHeight="1" x14ac:dyDescent="0.25">
      <c r="A104" s="461" t="s">
        <v>319</v>
      </c>
      <c r="B104" s="68"/>
      <c r="C104" s="69"/>
      <c r="E104" s="258"/>
    </row>
    <row r="105" spans="1:46" ht="33" customHeight="1" x14ac:dyDescent="0.25">
      <c r="A105" s="462"/>
      <c r="B105" s="71"/>
      <c r="C105" s="72"/>
      <c r="E105" s="258"/>
    </row>
    <row r="106" spans="1:46" ht="34.5" customHeight="1" thickBot="1" x14ac:dyDescent="0.3">
      <c r="A106" s="462"/>
      <c r="B106" s="73"/>
      <c r="C106" s="74"/>
    </row>
    <row r="107" spans="1:46" ht="34.5" customHeight="1" x14ac:dyDescent="0.25">
      <c r="A107" s="450" t="s">
        <v>404</v>
      </c>
      <c r="B107" s="82"/>
      <c r="C107" s="69"/>
    </row>
    <row r="108" spans="1:46" ht="34.5" customHeight="1" x14ac:dyDescent="0.25">
      <c r="A108" s="451"/>
      <c r="B108" s="83"/>
      <c r="C108" s="72"/>
    </row>
    <row r="109" spans="1:46" ht="34.5" customHeight="1" thickBot="1" x14ac:dyDescent="0.3">
      <c r="A109" s="452"/>
      <c r="B109" s="84"/>
      <c r="C109" s="81"/>
    </row>
    <row r="110" spans="1:46" ht="96" customHeight="1" thickBot="1" x14ac:dyDescent="0.3">
      <c r="A110" s="80" t="s">
        <v>327</v>
      </c>
      <c r="B110" s="357"/>
      <c r="C110" s="358"/>
    </row>
    <row r="111" spans="1:46" ht="34.5" customHeight="1" thickBot="1" x14ac:dyDescent="0.3">
      <c r="A111" s="75" t="s">
        <v>320</v>
      </c>
      <c r="B111" s="76"/>
      <c r="C111" s="77"/>
    </row>
    <row r="112" spans="1:46" x14ac:dyDescent="0.25">
      <c r="A112" s="67"/>
      <c r="B112" s="78"/>
    </row>
    <row r="113" spans="1:5" ht="36" customHeight="1" x14ac:dyDescent="0.25">
      <c r="A113" s="453" t="s">
        <v>556</v>
      </c>
      <c r="B113" s="453"/>
      <c r="C113" s="453"/>
      <c r="D113" s="453"/>
      <c r="E113" s="453"/>
    </row>
    <row r="114" spans="1:5" ht="15" x14ac:dyDescent="0.25">
      <c r="A114" s="61" t="s">
        <v>557</v>
      </c>
      <c r="B114" s="61"/>
      <c r="C114" s="61"/>
      <c r="D114" s="61"/>
    </row>
    <row r="115" spans="1:5" ht="15" x14ac:dyDescent="0.25">
      <c r="A115" s="61" t="s">
        <v>331</v>
      </c>
      <c r="B115" s="61"/>
      <c r="C115" s="61"/>
      <c r="D115" s="61"/>
    </row>
    <row r="116" spans="1:5" ht="15.75" customHeight="1" x14ac:dyDescent="0.25">
      <c r="A116" s="70" t="s">
        <v>533</v>
      </c>
    </row>
  </sheetData>
  <mergeCells count="116">
    <mergeCell ref="A1:A2"/>
    <mergeCell ref="A3:S3"/>
    <mergeCell ref="A4:S4"/>
    <mergeCell ref="B15:B16"/>
    <mergeCell ref="C15:C16"/>
    <mergeCell ref="D15:D16"/>
    <mergeCell ref="E15:E16"/>
    <mergeCell ref="S15:S16"/>
    <mergeCell ref="C13:I14"/>
    <mergeCell ref="J13:R14"/>
    <mergeCell ref="J15:J16"/>
    <mergeCell ref="F15:F16"/>
    <mergeCell ref="G15:G16"/>
    <mergeCell ref="M15:M16"/>
    <mergeCell ref="N15:N16"/>
    <mergeCell ref="A13:B14"/>
    <mergeCell ref="F8:G8"/>
    <mergeCell ref="F9:G9"/>
    <mergeCell ref="I15:I16"/>
    <mergeCell ref="O15:Q16"/>
    <mergeCell ref="S1:S2"/>
    <mergeCell ref="A107:A109"/>
    <mergeCell ref="K15:L15"/>
    <mergeCell ref="A15:A16"/>
    <mergeCell ref="A113:E113"/>
    <mergeCell ref="A5:S5"/>
    <mergeCell ref="A101:A102"/>
    <mergeCell ref="B101:D102"/>
    <mergeCell ref="A104:A106"/>
    <mergeCell ref="A17:S17"/>
    <mergeCell ref="A97:B98"/>
    <mergeCell ref="B7:C7"/>
    <mergeCell ref="B8:C8"/>
    <mergeCell ref="B9:C9"/>
    <mergeCell ref="B10:C10"/>
    <mergeCell ref="R15:R16"/>
    <mergeCell ref="I47:I48"/>
    <mergeCell ref="J47:J48"/>
    <mergeCell ref="K47:L47"/>
    <mergeCell ref="M47:M48"/>
    <mergeCell ref="N47:N48"/>
    <mergeCell ref="O47:O48"/>
    <mergeCell ref="F10:G10"/>
    <mergeCell ref="H15:H16"/>
    <mergeCell ref="R47:R48"/>
    <mergeCell ref="S47:S48"/>
    <mergeCell ref="O27:Q27"/>
    <mergeCell ref="O28:Q28"/>
    <mergeCell ref="O29:Q29"/>
    <mergeCell ref="O30:Q30"/>
    <mergeCell ref="O31:Q31"/>
    <mergeCell ref="O37:Q37"/>
    <mergeCell ref="O38:Q38"/>
    <mergeCell ref="O44:Q44"/>
    <mergeCell ref="O32:Q32"/>
    <mergeCell ref="O33:Q33"/>
    <mergeCell ref="O34:Q34"/>
    <mergeCell ref="O35:Q35"/>
    <mergeCell ref="J45:R46"/>
    <mergeCell ref="Q47:Q48"/>
    <mergeCell ref="P47:P48"/>
    <mergeCell ref="O18:Q18"/>
    <mergeCell ref="O19:Q19"/>
    <mergeCell ref="C45:I46"/>
    <mergeCell ref="O20:Q20"/>
    <mergeCell ref="O21:Q21"/>
    <mergeCell ref="O22:Q22"/>
    <mergeCell ref="O23:Q23"/>
    <mergeCell ref="O24:Q24"/>
    <mergeCell ref="O25:Q25"/>
    <mergeCell ref="O36:Q36"/>
    <mergeCell ref="O26:Q26"/>
    <mergeCell ref="O39:Q39"/>
    <mergeCell ref="O40:Q40"/>
    <mergeCell ref="O41:Q41"/>
    <mergeCell ref="O42:Q42"/>
    <mergeCell ref="O43:Q43"/>
    <mergeCell ref="B47:B48"/>
    <mergeCell ref="C47:C48"/>
    <mergeCell ref="D47:D48"/>
    <mergeCell ref="E47:E48"/>
    <mergeCell ref="F47:F48"/>
    <mergeCell ref="G47:G48"/>
    <mergeCell ref="H47:H48"/>
    <mergeCell ref="A86:A87"/>
    <mergeCell ref="B86:B87"/>
    <mergeCell ref="C86:C87"/>
    <mergeCell ref="D86:D87"/>
    <mergeCell ref="E86:E87"/>
    <mergeCell ref="F86:F87"/>
    <mergeCell ref="G86:G87"/>
    <mergeCell ref="H86:H87"/>
    <mergeCell ref="B1:R2"/>
    <mergeCell ref="S97:S98"/>
    <mergeCell ref="C97:F98"/>
    <mergeCell ref="I86:I87"/>
    <mergeCell ref="S86:S87"/>
    <mergeCell ref="R86:R87"/>
    <mergeCell ref="N86:N87"/>
    <mergeCell ref="O86:O87"/>
    <mergeCell ref="P86:P87"/>
    <mergeCell ref="Q86:Q87"/>
    <mergeCell ref="G97:H98"/>
    <mergeCell ref="I97:J98"/>
    <mergeCell ref="K97:L98"/>
    <mergeCell ref="M97:N98"/>
    <mergeCell ref="O97:P98"/>
    <mergeCell ref="Q97:R98"/>
    <mergeCell ref="A84:B85"/>
    <mergeCell ref="C84:I85"/>
    <mergeCell ref="J84:R85"/>
    <mergeCell ref="A45:B46"/>
    <mergeCell ref="J86:J87"/>
    <mergeCell ref="K86:L86"/>
    <mergeCell ref="M86:M87"/>
    <mergeCell ref="A47:A48"/>
  </mergeCells>
  <conditionalFormatting sqref="B1">
    <cfRule type="cellIs" dxfId="40" priority="6" operator="equal">
      <formula>"ERROR"</formula>
    </cfRule>
  </conditionalFormatting>
  <dataValidations count="1">
    <dataValidation type="list" allowBlank="1" showInputMessage="1" showErrorMessage="1" sqref="R97:R99">
      <formula1>#REF!</formula1>
    </dataValidation>
  </dataValidations>
  <pageMargins left="0.7" right="0.7" top="0.75" bottom="0.75" header="0.3" footer="0.3"/>
  <pageSetup orientation="portrait" horizontalDpi="4294967293"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LISTAS!$F$3:$F$100</xm:f>
          </x14:formula1>
          <xm:sqref>B8</xm:sqref>
        </x14:dataValidation>
        <x14:dataValidation type="list" allowBlank="1" showInputMessage="1" showErrorMessage="1">
          <x14:formula1>
            <xm:f>LISTAS!$B$102:$B$103</xm:f>
          </x14:formula1>
          <xm:sqref>R18:R44 R49:R83 R88:R96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A340"/>
  <sheetViews>
    <sheetView showGridLines="0" zoomScale="96" zoomScaleNormal="96" workbookViewId="0">
      <selection activeCell="B21" sqref="B21:K21"/>
    </sheetView>
  </sheetViews>
  <sheetFormatPr baseColWidth="10" defaultColWidth="11.42578125" defaultRowHeight="12.75" customHeight="1" x14ac:dyDescent="0.25"/>
  <cols>
    <col min="1" max="1" width="3.42578125" style="25" customWidth="1"/>
    <col min="2" max="2" width="33.7109375" style="1" customWidth="1"/>
    <col min="3" max="3" width="22" style="1" customWidth="1"/>
    <col min="4" max="4" width="49.7109375" style="1" customWidth="1"/>
    <col min="5" max="5" width="22.5703125" style="1" customWidth="1"/>
    <col min="6" max="6" width="33" style="1" customWidth="1"/>
    <col min="7" max="7" width="24.28515625" style="1" customWidth="1"/>
    <col min="8" max="8" width="26.42578125" style="1" customWidth="1"/>
    <col min="9" max="9" width="17" style="1" customWidth="1"/>
    <col min="10" max="10" width="26.140625" style="1" customWidth="1"/>
    <col min="11" max="11" width="15.7109375" style="1" customWidth="1"/>
    <col min="12" max="12" width="33.5703125" style="1" customWidth="1"/>
    <col min="13" max="13" width="23.28515625" style="1" customWidth="1"/>
    <col min="14" max="14" width="23.5703125" style="1" customWidth="1"/>
    <col min="15" max="15" width="16.7109375" style="1" customWidth="1"/>
    <col min="16" max="16" width="21.7109375" style="1" customWidth="1"/>
    <col min="17" max="258" width="11.42578125" style="1"/>
    <col min="259" max="259" width="3.42578125" style="1" customWidth="1"/>
    <col min="260" max="260" width="23.85546875" style="1" customWidth="1"/>
    <col min="261" max="261" width="27.42578125" style="1" customWidth="1"/>
    <col min="262" max="262" width="25" style="1" customWidth="1"/>
    <col min="263" max="263" width="24" style="1" customWidth="1"/>
    <col min="264" max="264" width="28.5703125" style="1" customWidth="1"/>
    <col min="265" max="265" width="22.42578125" style="1" customWidth="1"/>
    <col min="266" max="266" width="18.140625" style="1" customWidth="1"/>
    <col min="267" max="267" width="21.28515625" style="1" customWidth="1"/>
    <col min="268" max="268" width="18.5703125" style="1" customWidth="1"/>
    <col min="269" max="269" width="23.28515625" style="1" customWidth="1"/>
    <col min="270" max="270" width="23.5703125" style="1" customWidth="1"/>
    <col min="271" max="271" width="16.7109375" style="1" customWidth="1"/>
    <col min="272" max="272" width="21.7109375" style="1" customWidth="1"/>
    <col min="273" max="514" width="11.42578125" style="1"/>
    <col min="515" max="515" width="3.42578125" style="1" customWidth="1"/>
    <col min="516" max="516" width="23.85546875" style="1" customWidth="1"/>
    <col min="517" max="517" width="27.42578125" style="1" customWidth="1"/>
    <col min="518" max="518" width="25" style="1" customWidth="1"/>
    <col min="519" max="519" width="24" style="1" customWidth="1"/>
    <col min="520" max="520" width="28.5703125" style="1" customWidth="1"/>
    <col min="521" max="521" width="22.42578125" style="1" customWidth="1"/>
    <col min="522" max="522" width="18.140625" style="1" customWidth="1"/>
    <col min="523" max="523" width="21.28515625" style="1" customWidth="1"/>
    <col min="524" max="524" width="18.5703125" style="1" customWidth="1"/>
    <col min="525" max="525" width="23.28515625" style="1" customWidth="1"/>
    <col min="526" max="526" width="23.5703125" style="1" customWidth="1"/>
    <col min="527" max="527" width="16.7109375" style="1" customWidth="1"/>
    <col min="528" max="528" width="21.7109375" style="1" customWidth="1"/>
    <col min="529" max="770" width="11.42578125" style="1"/>
    <col min="771" max="771" width="3.42578125" style="1" customWidth="1"/>
    <col min="772" max="772" width="23.85546875" style="1" customWidth="1"/>
    <col min="773" max="773" width="27.42578125" style="1" customWidth="1"/>
    <col min="774" max="774" width="25" style="1" customWidth="1"/>
    <col min="775" max="775" width="24" style="1" customWidth="1"/>
    <col min="776" max="776" width="28.5703125" style="1" customWidth="1"/>
    <col min="777" max="777" width="22.42578125" style="1" customWidth="1"/>
    <col min="778" max="778" width="18.140625" style="1" customWidth="1"/>
    <col min="779" max="779" width="21.28515625" style="1" customWidth="1"/>
    <col min="780" max="780" width="18.5703125" style="1" customWidth="1"/>
    <col min="781" max="781" width="23.28515625" style="1" customWidth="1"/>
    <col min="782" max="782" width="23.5703125" style="1" customWidth="1"/>
    <col min="783" max="783" width="16.7109375" style="1" customWidth="1"/>
    <col min="784" max="784" width="21.7109375" style="1" customWidth="1"/>
    <col min="785" max="1026" width="11.42578125" style="1"/>
    <col min="1027" max="1027" width="3.42578125" style="1" customWidth="1"/>
    <col min="1028" max="1028" width="23.85546875" style="1" customWidth="1"/>
    <col min="1029" max="1029" width="27.42578125" style="1" customWidth="1"/>
    <col min="1030" max="1030" width="25" style="1" customWidth="1"/>
    <col min="1031" max="1031" width="24" style="1" customWidth="1"/>
    <col min="1032" max="1032" width="28.5703125" style="1" customWidth="1"/>
    <col min="1033" max="1033" width="22.42578125" style="1" customWidth="1"/>
    <col min="1034" max="1034" width="18.140625" style="1" customWidth="1"/>
    <col min="1035" max="1035" width="21.28515625" style="1" customWidth="1"/>
    <col min="1036" max="1036" width="18.5703125" style="1" customWidth="1"/>
    <col min="1037" max="1037" width="23.28515625" style="1" customWidth="1"/>
    <col min="1038" max="1038" width="23.5703125" style="1" customWidth="1"/>
    <col min="1039" max="1039" width="16.7109375" style="1" customWidth="1"/>
    <col min="1040" max="1040" width="21.7109375" style="1" customWidth="1"/>
    <col min="1041" max="1282" width="11.42578125" style="1"/>
    <col min="1283" max="1283" width="3.42578125" style="1" customWidth="1"/>
    <col min="1284" max="1284" width="23.85546875" style="1" customWidth="1"/>
    <col min="1285" max="1285" width="27.42578125" style="1" customWidth="1"/>
    <col min="1286" max="1286" width="25" style="1" customWidth="1"/>
    <col min="1287" max="1287" width="24" style="1" customWidth="1"/>
    <col min="1288" max="1288" width="28.5703125" style="1" customWidth="1"/>
    <col min="1289" max="1289" width="22.42578125" style="1" customWidth="1"/>
    <col min="1290" max="1290" width="18.140625" style="1" customWidth="1"/>
    <col min="1291" max="1291" width="21.28515625" style="1" customWidth="1"/>
    <col min="1292" max="1292" width="18.5703125" style="1" customWidth="1"/>
    <col min="1293" max="1293" width="23.28515625" style="1" customWidth="1"/>
    <col min="1294" max="1294" width="23.5703125" style="1" customWidth="1"/>
    <col min="1295" max="1295" width="16.7109375" style="1" customWidth="1"/>
    <col min="1296" max="1296" width="21.7109375" style="1" customWidth="1"/>
    <col min="1297" max="1538" width="11.42578125" style="1"/>
    <col min="1539" max="1539" width="3.42578125" style="1" customWidth="1"/>
    <col min="1540" max="1540" width="23.85546875" style="1" customWidth="1"/>
    <col min="1541" max="1541" width="27.42578125" style="1" customWidth="1"/>
    <col min="1542" max="1542" width="25" style="1" customWidth="1"/>
    <col min="1543" max="1543" width="24" style="1" customWidth="1"/>
    <col min="1544" max="1544" width="28.5703125" style="1" customWidth="1"/>
    <col min="1545" max="1545" width="22.42578125" style="1" customWidth="1"/>
    <col min="1546" max="1546" width="18.140625" style="1" customWidth="1"/>
    <col min="1547" max="1547" width="21.28515625" style="1" customWidth="1"/>
    <col min="1548" max="1548" width="18.5703125" style="1" customWidth="1"/>
    <col min="1549" max="1549" width="23.28515625" style="1" customWidth="1"/>
    <col min="1550" max="1550" width="23.5703125" style="1" customWidth="1"/>
    <col min="1551" max="1551" width="16.7109375" style="1" customWidth="1"/>
    <col min="1552" max="1552" width="21.7109375" style="1" customWidth="1"/>
    <col min="1553" max="1794" width="11.42578125" style="1"/>
    <col min="1795" max="1795" width="3.42578125" style="1" customWidth="1"/>
    <col min="1796" max="1796" width="23.85546875" style="1" customWidth="1"/>
    <col min="1797" max="1797" width="27.42578125" style="1" customWidth="1"/>
    <col min="1798" max="1798" width="25" style="1" customWidth="1"/>
    <col min="1799" max="1799" width="24" style="1" customWidth="1"/>
    <col min="1800" max="1800" width="28.5703125" style="1" customWidth="1"/>
    <col min="1801" max="1801" width="22.42578125" style="1" customWidth="1"/>
    <col min="1802" max="1802" width="18.140625" style="1" customWidth="1"/>
    <col min="1803" max="1803" width="21.28515625" style="1" customWidth="1"/>
    <col min="1804" max="1804" width="18.5703125" style="1" customWidth="1"/>
    <col min="1805" max="1805" width="23.28515625" style="1" customWidth="1"/>
    <col min="1806" max="1806" width="23.5703125" style="1" customWidth="1"/>
    <col min="1807" max="1807" width="16.7109375" style="1" customWidth="1"/>
    <col min="1808" max="1808" width="21.7109375" style="1" customWidth="1"/>
    <col min="1809" max="2050" width="11.42578125" style="1"/>
    <col min="2051" max="2051" width="3.42578125" style="1" customWidth="1"/>
    <col min="2052" max="2052" width="23.85546875" style="1" customWidth="1"/>
    <col min="2053" max="2053" width="27.42578125" style="1" customWidth="1"/>
    <col min="2054" max="2054" width="25" style="1" customWidth="1"/>
    <col min="2055" max="2055" width="24" style="1" customWidth="1"/>
    <col min="2056" max="2056" width="28.5703125" style="1" customWidth="1"/>
    <col min="2057" max="2057" width="22.42578125" style="1" customWidth="1"/>
    <col min="2058" max="2058" width="18.140625" style="1" customWidth="1"/>
    <col min="2059" max="2059" width="21.28515625" style="1" customWidth="1"/>
    <col min="2060" max="2060" width="18.5703125" style="1" customWidth="1"/>
    <col min="2061" max="2061" width="23.28515625" style="1" customWidth="1"/>
    <col min="2062" max="2062" width="23.5703125" style="1" customWidth="1"/>
    <col min="2063" max="2063" width="16.7109375" style="1" customWidth="1"/>
    <col min="2064" max="2064" width="21.7109375" style="1" customWidth="1"/>
    <col min="2065" max="2306" width="11.42578125" style="1"/>
    <col min="2307" max="2307" width="3.42578125" style="1" customWidth="1"/>
    <col min="2308" max="2308" width="23.85546875" style="1" customWidth="1"/>
    <col min="2309" max="2309" width="27.42578125" style="1" customWidth="1"/>
    <col min="2310" max="2310" width="25" style="1" customWidth="1"/>
    <col min="2311" max="2311" width="24" style="1" customWidth="1"/>
    <col min="2312" max="2312" width="28.5703125" style="1" customWidth="1"/>
    <col min="2313" max="2313" width="22.42578125" style="1" customWidth="1"/>
    <col min="2314" max="2314" width="18.140625" style="1" customWidth="1"/>
    <col min="2315" max="2315" width="21.28515625" style="1" customWidth="1"/>
    <col min="2316" max="2316" width="18.5703125" style="1" customWidth="1"/>
    <col min="2317" max="2317" width="23.28515625" style="1" customWidth="1"/>
    <col min="2318" max="2318" width="23.5703125" style="1" customWidth="1"/>
    <col min="2319" max="2319" width="16.7109375" style="1" customWidth="1"/>
    <col min="2320" max="2320" width="21.7109375" style="1" customWidth="1"/>
    <col min="2321" max="2562" width="11.42578125" style="1"/>
    <col min="2563" max="2563" width="3.42578125" style="1" customWidth="1"/>
    <col min="2564" max="2564" width="23.85546875" style="1" customWidth="1"/>
    <col min="2565" max="2565" width="27.42578125" style="1" customWidth="1"/>
    <col min="2566" max="2566" width="25" style="1" customWidth="1"/>
    <col min="2567" max="2567" width="24" style="1" customWidth="1"/>
    <col min="2568" max="2568" width="28.5703125" style="1" customWidth="1"/>
    <col min="2569" max="2569" width="22.42578125" style="1" customWidth="1"/>
    <col min="2570" max="2570" width="18.140625" style="1" customWidth="1"/>
    <col min="2571" max="2571" width="21.28515625" style="1" customWidth="1"/>
    <col min="2572" max="2572" width="18.5703125" style="1" customWidth="1"/>
    <col min="2573" max="2573" width="23.28515625" style="1" customWidth="1"/>
    <col min="2574" max="2574" width="23.5703125" style="1" customWidth="1"/>
    <col min="2575" max="2575" width="16.7109375" style="1" customWidth="1"/>
    <col min="2576" max="2576" width="21.7109375" style="1" customWidth="1"/>
    <col min="2577" max="2818" width="11.42578125" style="1"/>
    <col min="2819" max="2819" width="3.42578125" style="1" customWidth="1"/>
    <col min="2820" max="2820" width="23.85546875" style="1" customWidth="1"/>
    <col min="2821" max="2821" width="27.42578125" style="1" customWidth="1"/>
    <col min="2822" max="2822" width="25" style="1" customWidth="1"/>
    <col min="2823" max="2823" width="24" style="1" customWidth="1"/>
    <col min="2824" max="2824" width="28.5703125" style="1" customWidth="1"/>
    <col min="2825" max="2825" width="22.42578125" style="1" customWidth="1"/>
    <col min="2826" max="2826" width="18.140625" style="1" customWidth="1"/>
    <col min="2827" max="2827" width="21.28515625" style="1" customWidth="1"/>
    <col min="2828" max="2828" width="18.5703125" style="1" customWidth="1"/>
    <col min="2829" max="2829" width="23.28515625" style="1" customWidth="1"/>
    <col min="2830" max="2830" width="23.5703125" style="1" customWidth="1"/>
    <col min="2831" max="2831" width="16.7109375" style="1" customWidth="1"/>
    <col min="2832" max="2832" width="21.7109375" style="1" customWidth="1"/>
    <col min="2833" max="3074" width="11.42578125" style="1"/>
    <col min="3075" max="3075" width="3.42578125" style="1" customWidth="1"/>
    <col min="3076" max="3076" width="23.85546875" style="1" customWidth="1"/>
    <col min="3077" max="3077" width="27.42578125" style="1" customWidth="1"/>
    <col min="3078" max="3078" width="25" style="1" customWidth="1"/>
    <col min="3079" max="3079" width="24" style="1" customWidth="1"/>
    <col min="3080" max="3080" width="28.5703125" style="1" customWidth="1"/>
    <col min="3081" max="3081" width="22.42578125" style="1" customWidth="1"/>
    <col min="3082" max="3082" width="18.140625" style="1" customWidth="1"/>
    <col min="3083" max="3083" width="21.28515625" style="1" customWidth="1"/>
    <col min="3084" max="3084" width="18.5703125" style="1" customWidth="1"/>
    <col min="3085" max="3085" width="23.28515625" style="1" customWidth="1"/>
    <col min="3086" max="3086" width="23.5703125" style="1" customWidth="1"/>
    <col min="3087" max="3087" width="16.7109375" style="1" customWidth="1"/>
    <col min="3088" max="3088" width="21.7109375" style="1" customWidth="1"/>
    <col min="3089" max="3330" width="11.42578125" style="1"/>
    <col min="3331" max="3331" width="3.42578125" style="1" customWidth="1"/>
    <col min="3332" max="3332" width="23.85546875" style="1" customWidth="1"/>
    <col min="3333" max="3333" width="27.42578125" style="1" customWidth="1"/>
    <col min="3334" max="3334" width="25" style="1" customWidth="1"/>
    <col min="3335" max="3335" width="24" style="1" customWidth="1"/>
    <col min="3336" max="3336" width="28.5703125" style="1" customWidth="1"/>
    <col min="3337" max="3337" width="22.42578125" style="1" customWidth="1"/>
    <col min="3338" max="3338" width="18.140625" style="1" customWidth="1"/>
    <col min="3339" max="3339" width="21.28515625" style="1" customWidth="1"/>
    <col min="3340" max="3340" width="18.5703125" style="1" customWidth="1"/>
    <col min="3341" max="3341" width="23.28515625" style="1" customWidth="1"/>
    <col min="3342" max="3342" width="23.5703125" style="1" customWidth="1"/>
    <col min="3343" max="3343" width="16.7109375" style="1" customWidth="1"/>
    <col min="3344" max="3344" width="21.7109375" style="1" customWidth="1"/>
    <col min="3345" max="3586" width="11.42578125" style="1"/>
    <col min="3587" max="3587" width="3.42578125" style="1" customWidth="1"/>
    <col min="3588" max="3588" width="23.85546875" style="1" customWidth="1"/>
    <col min="3589" max="3589" width="27.42578125" style="1" customWidth="1"/>
    <col min="3590" max="3590" width="25" style="1" customWidth="1"/>
    <col min="3591" max="3591" width="24" style="1" customWidth="1"/>
    <col min="3592" max="3592" width="28.5703125" style="1" customWidth="1"/>
    <col min="3593" max="3593" width="22.42578125" style="1" customWidth="1"/>
    <col min="3594" max="3594" width="18.140625" style="1" customWidth="1"/>
    <col min="3595" max="3595" width="21.28515625" style="1" customWidth="1"/>
    <col min="3596" max="3596" width="18.5703125" style="1" customWidth="1"/>
    <col min="3597" max="3597" width="23.28515625" style="1" customWidth="1"/>
    <col min="3598" max="3598" width="23.5703125" style="1" customWidth="1"/>
    <col min="3599" max="3599" width="16.7109375" style="1" customWidth="1"/>
    <col min="3600" max="3600" width="21.7109375" style="1" customWidth="1"/>
    <col min="3601" max="3842" width="11.42578125" style="1"/>
    <col min="3843" max="3843" width="3.42578125" style="1" customWidth="1"/>
    <col min="3844" max="3844" width="23.85546875" style="1" customWidth="1"/>
    <col min="3845" max="3845" width="27.42578125" style="1" customWidth="1"/>
    <col min="3846" max="3846" width="25" style="1" customWidth="1"/>
    <col min="3847" max="3847" width="24" style="1" customWidth="1"/>
    <col min="3848" max="3848" width="28.5703125" style="1" customWidth="1"/>
    <col min="3849" max="3849" width="22.42578125" style="1" customWidth="1"/>
    <col min="3850" max="3850" width="18.140625" style="1" customWidth="1"/>
    <col min="3851" max="3851" width="21.28515625" style="1" customWidth="1"/>
    <col min="3852" max="3852" width="18.5703125" style="1" customWidth="1"/>
    <col min="3853" max="3853" width="23.28515625" style="1" customWidth="1"/>
    <col min="3854" max="3854" width="23.5703125" style="1" customWidth="1"/>
    <col min="3855" max="3855" width="16.7109375" style="1" customWidth="1"/>
    <col min="3856" max="3856" width="21.7109375" style="1" customWidth="1"/>
    <col min="3857" max="4098" width="11.42578125" style="1"/>
    <col min="4099" max="4099" width="3.42578125" style="1" customWidth="1"/>
    <col min="4100" max="4100" width="23.85546875" style="1" customWidth="1"/>
    <col min="4101" max="4101" width="27.42578125" style="1" customWidth="1"/>
    <col min="4102" max="4102" width="25" style="1" customWidth="1"/>
    <col min="4103" max="4103" width="24" style="1" customWidth="1"/>
    <col min="4104" max="4104" width="28.5703125" style="1" customWidth="1"/>
    <col min="4105" max="4105" width="22.42578125" style="1" customWidth="1"/>
    <col min="4106" max="4106" width="18.140625" style="1" customWidth="1"/>
    <col min="4107" max="4107" width="21.28515625" style="1" customWidth="1"/>
    <col min="4108" max="4108" width="18.5703125" style="1" customWidth="1"/>
    <col min="4109" max="4109" width="23.28515625" style="1" customWidth="1"/>
    <col min="4110" max="4110" width="23.5703125" style="1" customWidth="1"/>
    <col min="4111" max="4111" width="16.7109375" style="1" customWidth="1"/>
    <col min="4112" max="4112" width="21.7109375" style="1" customWidth="1"/>
    <col min="4113" max="4354" width="11.42578125" style="1"/>
    <col min="4355" max="4355" width="3.42578125" style="1" customWidth="1"/>
    <col min="4356" max="4356" width="23.85546875" style="1" customWidth="1"/>
    <col min="4357" max="4357" width="27.42578125" style="1" customWidth="1"/>
    <col min="4358" max="4358" width="25" style="1" customWidth="1"/>
    <col min="4359" max="4359" width="24" style="1" customWidth="1"/>
    <col min="4360" max="4360" width="28.5703125" style="1" customWidth="1"/>
    <col min="4361" max="4361" width="22.42578125" style="1" customWidth="1"/>
    <col min="4362" max="4362" width="18.140625" style="1" customWidth="1"/>
    <col min="4363" max="4363" width="21.28515625" style="1" customWidth="1"/>
    <col min="4364" max="4364" width="18.5703125" style="1" customWidth="1"/>
    <col min="4365" max="4365" width="23.28515625" style="1" customWidth="1"/>
    <col min="4366" max="4366" width="23.5703125" style="1" customWidth="1"/>
    <col min="4367" max="4367" width="16.7109375" style="1" customWidth="1"/>
    <col min="4368" max="4368" width="21.7109375" style="1" customWidth="1"/>
    <col min="4369" max="4610" width="11.42578125" style="1"/>
    <col min="4611" max="4611" width="3.42578125" style="1" customWidth="1"/>
    <col min="4612" max="4612" width="23.85546875" style="1" customWidth="1"/>
    <col min="4613" max="4613" width="27.42578125" style="1" customWidth="1"/>
    <col min="4614" max="4614" width="25" style="1" customWidth="1"/>
    <col min="4615" max="4615" width="24" style="1" customWidth="1"/>
    <col min="4616" max="4616" width="28.5703125" style="1" customWidth="1"/>
    <col min="4617" max="4617" width="22.42578125" style="1" customWidth="1"/>
    <col min="4618" max="4618" width="18.140625" style="1" customWidth="1"/>
    <col min="4619" max="4619" width="21.28515625" style="1" customWidth="1"/>
    <col min="4620" max="4620" width="18.5703125" style="1" customWidth="1"/>
    <col min="4621" max="4621" width="23.28515625" style="1" customWidth="1"/>
    <col min="4622" max="4622" width="23.5703125" style="1" customWidth="1"/>
    <col min="4623" max="4623" width="16.7109375" style="1" customWidth="1"/>
    <col min="4624" max="4624" width="21.7109375" style="1" customWidth="1"/>
    <col min="4625" max="4866" width="11.42578125" style="1"/>
    <col min="4867" max="4867" width="3.42578125" style="1" customWidth="1"/>
    <col min="4868" max="4868" width="23.85546875" style="1" customWidth="1"/>
    <col min="4869" max="4869" width="27.42578125" style="1" customWidth="1"/>
    <col min="4870" max="4870" width="25" style="1" customWidth="1"/>
    <col min="4871" max="4871" width="24" style="1" customWidth="1"/>
    <col min="4872" max="4872" width="28.5703125" style="1" customWidth="1"/>
    <col min="4873" max="4873" width="22.42578125" style="1" customWidth="1"/>
    <col min="4874" max="4874" width="18.140625" style="1" customWidth="1"/>
    <col min="4875" max="4875" width="21.28515625" style="1" customWidth="1"/>
    <col min="4876" max="4876" width="18.5703125" style="1" customWidth="1"/>
    <col min="4877" max="4877" width="23.28515625" style="1" customWidth="1"/>
    <col min="4878" max="4878" width="23.5703125" style="1" customWidth="1"/>
    <col min="4879" max="4879" width="16.7109375" style="1" customWidth="1"/>
    <col min="4880" max="4880" width="21.7109375" style="1" customWidth="1"/>
    <col min="4881" max="5122" width="11.42578125" style="1"/>
    <col min="5123" max="5123" width="3.42578125" style="1" customWidth="1"/>
    <col min="5124" max="5124" width="23.85546875" style="1" customWidth="1"/>
    <col min="5125" max="5125" width="27.42578125" style="1" customWidth="1"/>
    <col min="5126" max="5126" width="25" style="1" customWidth="1"/>
    <col min="5127" max="5127" width="24" style="1" customWidth="1"/>
    <col min="5128" max="5128" width="28.5703125" style="1" customWidth="1"/>
    <col min="5129" max="5129" width="22.42578125" style="1" customWidth="1"/>
    <col min="5130" max="5130" width="18.140625" style="1" customWidth="1"/>
    <col min="5131" max="5131" width="21.28515625" style="1" customWidth="1"/>
    <col min="5132" max="5132" width="18.5703125" style="1" customWidth="1"/>
    <col min="5133" max="5133" width="23.28515625" style="1" customWidth="1"/>
    <col min="5134" max="5134" width="23.5703125" style="1" customWidth="1"/>
    <col min="5135" max="5135" width="16.7109375" style="1" customWidth="1"/>
    <col min="5136" max="5136" width="21.7109375" style="1" customWidth="1"/>
    <col min="5137" max="5378" width="11.42578125" style="1"/>
    <col min="5379" max="5379" width="3.42578125" style="1" customWidth="1"/>
    <col min="5380" max="5380" width="23.85546875" style="1" customWidth="1"/>
    <col min="5381" max="5381" width="27.42578125" style="1" customWidth="1"/>
    <col min="5382" max="5382" width="25" style="1" customWidth="1"/>
    <col min="5383" max="5383" width="24" style="1" customWidth="1"/>
    <col min="5384" max="5384" width="28.5703125" style="1" customWidth="1"/>
    <col min="5385" max="5385" width="22.42578125" style="1" customWidth="1"/>
    <col min="5386" max="5386" width="18.140625" style="1" customWidth="1"/>
    <col min="5387" max="5387" width="21.28515625" style="1" customWidth="1"/>
    <col min="5388" max="5388" width="18.5703125" style="1" customWidth="1"/>
    <col min="5389" max="5389" width="23.28515625" style="1" customWidth="1"/>
    <col min="5390" max="5390" width="23.5703125" style="1" customWidth="1"/>
    <col min="5391" max="5391" width="16.7109375" style="1" customWidth="1"/>
    <col min="5392" max="5392" width="21.7109375" style="1" customWidth="1"/>
    <col min="5393" max="5634" width="11.42578125" style="1"/>
    <col min="5635" max="5635" width="3.42578125" style="1" customWidth="1"/>
    <col min="5636" max="5636" width="23.85546875" style="1" customWidth="1"/>
    <col min="5637" max="5637" width="27.42578125" style="1" customWidth="1"/>
    <col min="5638" max="5638" width="25" style="1" customWidth="1"/>
    <col min="5639" max="5639" width="24" style="1" customWidth="1"/>
    <col min="5640" max="5640" width="28.5703125" style="1" customWidth="1"/>
    <col min="5641" max="5641" width="22.42578125" style="1" customWidth="1"/>
    <col min="5642" max="5642" width="18.140625" style="1" customWidth="1"/>
    <col min="5643" max="5643" width="21.28515625" style="1" customWidth="1"/>
    <col min="5644" max="5644" width="18.5703125" style="1" customWidth="1"/>
    <col min="5645" max="5645" width="23.28515625" style="1" customWidth="1"/>
    <col min="5646" max="5646" width="23.5703125" style="1" customWidth="1"/>
    <col min="5647" max="5647" width="16.7109375" style="1" customWidth="1"/>
    <col min="5648" max="5648" width="21.7109375" style="1" customWidth="1"/>
    <col min="5649" max="5890" width="11.42578125" style="1"/>
    <col min="5891" max="5891" width="3.42578125" style="1" customWidth="1"/>
    <col min="5892" max="5892" width="23.85546875" style="1" customWidth="1"/>
    <col min="5893" max="5893" width="27.42578125" style="1" customWidth="1"/>
    <col min="5894" max="5894" width="25" style="1" customWidth="1"/>
    <col min="5895" max="5895" width="24" style="1" customWidth="1"/>
    <col min="5896" max="5896" width="28.5703125" style="1" customWidth="1"/>
    <col min="5897" max="5897" width="22.42578125" style="1" customWidth="1"/>
    <col min="5898" max="5898" width="18.140625" style="1" customWidth="1"/>
    <col min="5899" max="5899" width="21.28515625" style="1" customWidth="1"/>
    <col min="5900" max="5900" width="18.5703125" style="1" customWidth="1"/>
    <col min="5901" max="5901" width="23.28515625" style="1" customWidth="1"/>
    <col min="5902" max="5902" width="23.5703125" style="1" customWidth="1"/>
    <col min="5903" max="5903" width="16.7109375" style="1" customWidth="1"/>
    <col min="5904" max="5904" width="21.7109375" style="1" customWidth="1"/>
    <col min="5905" max="6146" width="11.42578125" style="1"/>
    <col min="6147" max="6147" width="3.42578125" style="1" customWidth="1"/>
    <col min="6148" max="6148" width="23.85546875" style="1" customWidth="1"/>
    <col min="6149" max="6149" width="27.42578125" style="1" customWidth="1"/>
    <col min="6150" max="6150" width="25" style="1" customWidth="1"/>
    <col min="6151" max="6151" width="24" style="1" customWidth="1"/>
    <col min="6152" max="6152" width="28.5703125" style="1" customWidth="1"/>
    <col min="6153" max="6153" width="22.42578125" style="1" customWidth="1"/>
    <col min="6154" max="6154" width="18.140625" style="1" customWidth="1"/>
    <col min="6155" max="6155" width="21.28515625" style="1" customWidth="1"/>
    <col min="6156" max="6156" width="18.5703125" style="1" customWidth="1"/>
    <col min="6157" max="6157" width="23.28515625" style="1" customWidth="1"/>
    <col min="6158" max="6158" width="23.5703125" style="1" customWidth="1"/>
    <col min="6159" max="6159" width="16.7109375" style="1" customWidth="1"/>
    <col min="6160" max="6160" width="21.7109375" style="1" customWidth="1"/>
    <col min="6161" max="6402" width="11.42578125" style="1"/>
    <col min="6403" max="6403" width="3.42578125" style="1" customWidth="1"/>
    <col min="6404" max="6404" width="23.85546875" style="1" customWidth="1"/>
    <col min="6405" max="6405" width="27.42578125" style="1" customWidth="1"/>
    <col min="6406" max="6406" width="25" style="1" customWidth="1"/>
    <col min="6407" max="6407" width="24" style="1" customWidth="1"/>
    <col min="6408" max="6408" width="28.5703125" style="1" customWidth="1"/>
    <col min="6409" max="6409" width="22.42578125" style="1" customWidth="1"/>
    <col min="6410" max="6410" width="18.140625" style="1" customWidth="1"/>
    <col min="6411" max="6411" width="21.28515625" style="1" customWidth="1"/>
    <col min="6412" max="6412" width="18.5703125" style="1" customWidth="1"/>
    <col min="6413" max="6413" width="23.28515625" style="1" customWidth="1"/>
    <col min="6414" max="6414" width="23.5703125" style="1" customWidth="1"/>
    <col min="6415" max="6415" width="16.7109375" style="1" customWidth="1"/>
    <col min="6416" max="6416" width="21.7109375" style="1" customWidth="1"/>
    <col min="6417" max="6658" width="11.42578125" style="1"/>
    <col min="6659" max="6659" width="3.42578125" style="1" customWidth="1"/>
    <col min="6660" max="6660" width="23.85546875" style="1" customWidth="1"/>
    <col min="6661" max="6661" width="27.42578125" style="1" customWidth="1"/>
    <col min="6662" max="6662" width="25" style="1" customWidth="1"/>
    <col min="6663" max="6663" width="24" style="1" customWidth="1"/>
    <col min="6664" max="6664" width="28.5703125" style="1" customWidth="1"/>
    <col min="6665" max="6665" width="22.42578125" style="1" customWidth="1"/>
    <col min="6666" max="6666" width="18.140625" style="1" customWidth="1"/>
    <col min="6667" max="6667" width="21.28515625" style="1" customWidth="1"/>
    <col min="6668" max="6668" width="18.5703125" style="1" customWidth="1"/>
    <col min="6669" max="6669" width="23.28515625" style="1" customWidth="1"/>
    <col min="6670" max="6670" width="23.5703125" style="1" customWidth="1"/>
    <col min="6671" max="6671" width="16.7109375" style="1" customWidth="1"/>
    <col min="6672" max="6672" width="21.7109375" style="1" customWidth="1"/>
    <col min="6673" max="6914" width="11.42578125" style="1"/>
    <col min="6915" max="6915" width="3.42578125" style="1" customWidth="1"/>
    <col min="6916" max="6916" width="23.85546875" style="1" customWidth="1"/>
    <col min="6917" max="6917" width="27.42578125" style="1" customWidth="1"/>
    <col min="6918" max="6918" width="25" style="1" customWidth="1"/>
    <col min="6919" max="6919" width="24" style="1" customWidth="1"/>
    <col min="6920" max="6920" width="28.5703125" style="1" customWidth="1"/>
    <col min="6921" max="6921" width="22.42578125" style="1" customWidth="1"/>
    <col min="6922" max="6922" width="18.140625" style="1" customWidth="1"/>
    <col min="6923" max="6923" width="21.28515625" style="1" customWidth="1"/>
    <col min="6924" max="6924" width="18.5703125" style="1" customWidth="1"/>
    <col min="6925" max="6925" width="23.28515625" style="1" customWidth="1"/>
    <col min="6926" max="6926" width="23.5703125" style="1" customWidth="1"/>
    <col min="6927" max="6927" width="16.7109375" style="1" customWidth="1"/>
    <col min="6928" max="6928" width="21.7109375" style="1" customWidth="1"/>
    <col min="6929" max="7170" width="11.42578125" style="1"/>
    <col min="7171" max="7171" width="3.42578125" style="1" customWidth="1"/>
    <col min="7172" max="7172" width="23.85546875" style="1" customWidth="1"/>
    <col min="7173" max="7173" width="27.42578125" style="1" customWidth="1"/>
    <col min="7174" max="7174" width="25" style="1" customWidth="1"/>
    <col min="7175" max="7175" width="24" style="1" customWidth="1"/>
    <col min="7176" max="7176" width="28.5703125" style="1" customWidth="1"/>
    <col min="7177" max="7177" width="22.42578125" style="1" customWidth="1"/>
    <col min="7178" max="7178" width="18.140625" style="1" customWidth="1"/>
    <col min="7179" max="7179" width="21.28515625" style="1" customWidth="1"/>
    <col min="7180" max="7180" width="18.5703125" style="1" customWidth="1"/>
    <col min="7181" max="7181" width="23.28515625" style="1" customWidth="1"/>
    <col min="7182" max="7182" width="23.5703125" style="1" customWidth="1"/>
    <col min="7183" max="7183" width="16.7109375" style="1" customWidth="1"/>
    <col min="7184" max="7184" width="21.7109375" style="1" customWidth="1"/>
    <col min="7185" max="7426" width="11.42578125" style="1"/>
    <col min="7427" max="7427" width="3.42578125" style="1" customWidth="1"/>
    <col min="7428" max="7428" width="23.85546875" style="1" customWidth="1"/>
    <col min="7429" max="7429" width="27.42578125" style="1" customWidth="1"/>
    <col min="7430" max="7430" width="25" style="1" customWidth="1"/>
    <col min="7431" max="7431" width="24" style="1" customWidth="1"/>
    <col min="7432" max="7432" width="28.5703125" style="1" customWidth="1"/>
    <col min="7433" max="7433" width="22.42578125" style="1" customWidth="1"/>
    <col min="7434" max="7434" width="18.140625" style="1" customWidth="1"/>
    <col min="7435" max="7435" width="21.28515625" style="1" customWidth="1"/>
    <col min="7436" max="7436" width="18.5703125" style="1" customWidth="1"/>
    <col min="7437" max="7437" width="23.28515625" style="1" customWidth="1"/>
    <col min="7438" max="7438" width="23.5703125" style="1" customWidth="1"/>
    <col min="7439" max="7439" width="16.7109375" style="1" customWidth="1"/>
    <col min="7440" max="7440" width="21.7109375" style="1" customWidth="1"/>
    <col min="7441" max="7682" width="11.42578125" style="1"/>
    <col min="7683" max="7683" width="3.42578125" style="1" customWidth="1"/>
    <col min="7684" max="7684" width="23.85546875" style="1" customWidth="1"/>
    <col min="7685" max="7685" width="27.42578125" style="1" customWidth="1"/>
    <col min="7686" max="7686" width="25" style="1" customWidth="1"/>
    <col min="7687" max="7687" width="24" style="1" customWidth="1"/>
    <col min="7688" max="7688" width="28.5703125" style="1" customWidth="1"/>
    <col min="7689" max="7689" width="22.42578125" style="1" customWidth="1"/>
    <col min="7690" max="7690" width="18.140625" style="1" customWidth="1"/>
    <col min="7691" max="7691" width="21.28515625" style="1" customWidth="1"/>
    <col min="7692" max="7692" width="18.5703125" style="1" customWidth="1"/>
    <col min="7693" max="7693" width="23.28515625" style="1" customWidth="1"/>
    <col min="7694" max="7694" width="23.5703125" style="1" customWidth="1"/>
    <col min="7695" max="7695" width="16.7109375" style="1" customWidth="1"/>
    <col min="7696" max="7696" width="21.7109375" style="1" customWidth="1"/>
    <col min="7697" max="7938" width="11.42578125" style="1"/>
    <col min="7939" max="7939" width="3.42578125" style="1" customWidth="1"/>
    <col min="7940" max="7940" width="23.85546875" style="1" customWidth="1"/>
    <col min="7941" max="7941" width="27.42578125" style="1" customWidth="1"/>
    <col min="7942" max="7942" width="25" style="1" customWidth="1"/>
    <col min="7943" max="7943" width="24" style="1" customWidth="1"/>
    <col min="7944" max="7944" width="28.5703125" style="1" customWidth="1"/>
    <col min="7945" max="7945" width="22.42578125" style="1" customWidth="1"/>
    <col min="7946" max="7946" width="18.140625" style="1" customWidth="1"/>
    <col min="7947" max="7947" width="21.28515625" style="1" customWidth="1"/>
    <col min="7948" max="7948" width="18.5703125" style="1" customWidth="1"/>
    <col min="7949" max="7949" width="23.28515625" style="1" customWidth="1"/>
    <col min="7950" max="7950" width="23.5703125" style="1" customWidth="1"/>
    <col min="7951" max="7951" width="16.7109375" style="1" customWidth="1"/>
    <col min="7952" max="7952" width="21.7109375" style="1" customWidth="1"/>
    <col min="7953" max="8194" width="11.42578125" style="1"/>
    <col min="8195" max="8195" width="3.42578125" style="1" customWidth="1"/>
    <col min="8196" max="8196" width="23.85546875" style="1" customWidth="1"/>
    <col min="8197" max="8197" width="27.42578125" style="1" customWidth="1"/>
    <col min="8198" max="8198" width="25" style="1" customWidth="1"/>
    <col min="8199" max="8199" width="24" style="1" customWidth="1"/>
    <col min="8200" max="8200" width="28.5703125" style="1" customWidth="1"/>
    <col min="8201" max="8201" width="22.42578125" style="1" customWidth="1"/>
    <col min="8202" max="8202" width="18.140625" style="1" customWidth="1"/>
    <col min="8203" max="8203" width="21.28515625" style="1" customWidth="1"/>
    <col min="8204" max="8204" width="18.5703125" style="1" customWidth="1"/>
    <col min="8205" max="8205" width="23.28515625" style="1" customWidth="1"/>
    <col min="8206" max="8206" width="23.5703125" style="1" customWidth="1"/>
    <col min="8207" max="8207" width="16.7109375" style="1" customWidth="1"/>
    <col min="8208" max="8208" width="21.7109375" style="1" customWidth="1"/>
    <col min="8209" max="8450" width="11.42578125" style="1"/>
    <col min="8451" max="8451" width="3.42578125" style="1" customWidth="1"/>
    <col min="8452" max="8452" width="23.85546875" style="1" customWidth="1"/>
    <col min="8453" max="8453" width="27.42578125" style="1" customWidth="1"/>
    <col min="8454" max="8454" width="25" style="1" customWidth="1"/>
    <col min="8455" max="8455" width="24" style="1" customWidth="1"/>
    <col min="8456" max="8456" width="28.5703125" style="1" customWidth="1"/>
    <col min="8457" max="8457" width="22.42578125" style="1" customWidth="1"/>
    <col min="8458" max="8458" width="18.140625" style="1" customWidth="1"/>
    <col min="8459" max="8459" width="21.28515625" style="1" customWidth="1"/>
    <col min="8460" max="8460" width="18.5703125" style="1" customWidth="1"/>
    <col min="8461" max="8461" width="23.28515625" style="1" customWidth="1"/>
    <col min="8462" max="8462" width="23.5703125" style="1" customWidth="1"/>
    <col min="8463" max="8463" width="16.7109375" style="1" customWidth="1"/>
    <col min="8464" max="8464" width="21.7109375" style="1" customWidth="1"/>
    <col min="8465" max="8706" width="11.42578125" style="1"/>
    <col min="8707" max="8707" width="3.42578125" style="1" customWidth="1"/>
    <col min="8708" max="8708" width="23.85546875" style="1" customWidth="1"/>
    <col min="8709" max="8709" width="27.42578125" style="1" customWidth="1"/>
    <col min="8710" max="8710" width="25" style="1" customWidth="1"/>
    <col min="8711" max="8711" width="24" style="1" customWidth="1"/>
    <col min="8712" max="8712" width="28.5703125" style="1" customWidth="1"/>
    <col min="8713" max="8713" width="22.42578125" style="1" customWidth="1"/>
    <col min="8714" max="8714" width="18.140625" style="1" customWidth="1"/>
    <col min="8715" max="8715" width="21.28515625" style="1" customWidth="1"/>
    <col min="8716" max="8716" width="18.5703125" style="1" customWidth="1"/>
    <col min="8717" max="8717" width="23.28515625" style="1" customWidth="1"/>
    <col min="8718" max="8718" width="23.5703125" style="1" customWidth="1"/>
    <col min="8719" max="8719" width="16.7109375" style="1" customWidth="1"/>
    <col min="8720" max="8720" width="21.7109375" style="1" customWidth="1"/>
    <col min="8721" max="8962" width="11.42578125" style="1"/>
    <col min="8963" max="8963" width="3.42578125" style="1" customWidth="1"/>
    <col min="8964" max="8964" width="23.85546875" style="1" customWidth="1"/>
    <col min="8965" max="8965" width="27.42578125" style="1" customWidth="1"/>
    <col min="8966" max="8966" width="25" style="1" customWidth="1"/>
    <col min="8967" max="8967" width="24" style="1" customWidth="1"/>
    <col min="8968" max="8968" width="28.5703125" style="1" customWidth="1"/>
    <col min="8969" max="8969" width="22.42578125" style="1" customWidth="1"/>
    <col min="8970" max="8970" width="18.140625" style="1" customWidth="1"/>
    <col min="8971" max="8971" width="21.28515625" style="1" customWidth="1"/>
    <col min="8972" max="8972" width="18.5703125" style="1" customWidth="1"/>
    <col min="8973" max="8973" width="23.28515625" style="1" customWidth="1"/>
    <col min="8974" max="8974" width="23.5703125" style="1" customWidth="1"/>
    <col min="8975" max="8975" width="16.7109375" style="1" customWidth="1"/>
    <col min="8976" max="8976" width="21.7109375" style="1" customWidth="1"/>
    <col min="8977" max="9218" width="11.42578125" style="1"/>
    <col min="9219" max="9219" width="3.42578125" style="1" customWidth="1"/>
    <col min="9220" max="9220" width="23.85546875" style="1" customWidth="1"/>
    <col min="9221" max="9221" width="27.42578125" style="1" customWidth="1"/>
    <col min="9222" max="9222" width="25" style="1" customWidth="1"/>
    <col min="9223" max="9223" width="24" style="1" customWidth="1"/>
    <col min="9224" max="9224" width="28.5703125" style="1" customWidth="1"/>
    <col min="9225" max="9225" width="22.42578125" style="1" customWidth="1"/>
    <col min="9226" max="9226" width="18.140625" style="1" customWidth="1"/>
    <col min="9227" max="9227" width="21.28515625" style="1" customWidth="1"/>
    <col min="9228" max="9228" width="18.5703125" style="1" customWidth="1"/>
    <col min="9229" max="9229" width="23.28515625" style="1" customWidth="1"/>
    <col min="9230" max="9230" width="23.5703125" style="1" customWidth="1"/>
    <col min="9231" max="9231" width="16.7109375" style="1" customWidth="1"/>
    <col min="9232" max="9232" width="21.7109375" style="1" customWidth="1"/>
    <col min="9233" max="9474" width="11.42578125" style="1"/>
    <col min="9475" max="9475" width="3.42578125" style="1" customWidth="1"/>
    <col min="9476" max="9476" width="23.85546875" style="1" customWidth="1"/>
    <col min="9477" max="9477" width="27.42578125" style="1" customWidth="1"/>
    <col min="9478" max="9478" width="25" style="1" customWidth="1"/>
    <col min="9479" max="9479" width="24" style="1" customWidth="1"/>
    <col min="9480" max="9480" width="28.5703125" style="1" customWidth="1"/>
    <col min="9481" max="9481" width="22.42578125" style="1" customWidth="1"/>
    <col min="9482" max="9482" width="18.140625" style="1" customWidth="1"/>
    <col min="9483" max="9483" width="21.28515625" style="1" customWidth="1"/>
    <col min="9484" max="9484" width="18.5703125" style="1" customWidth="1"/>
    <col min="9485" max="9485" width="23.28515625" style="1" customWidth="1"/>
    <col min="9486" max="9486" width="23.5703125" style="1" customWidth="1"/>
    <col min="9487" max="9487" width="16.7109375" style="1" customWidth="1"/>
    <col min="9488" max="9488" width="21.7109375" style="1" customWidth="1"/>
    <col min="9489" max="9730" width="11.42578125" style="1"/>
    <col min="9731" max="9731" width="3.42578125" style="1" customWidth="1"/>
    <col min="9732" max="9732" width="23.85546875" style="1" customWidth="1"/>
    <col min="9733" max="9733" width="27.42578125" style="1" customWidth="1"/>
    <col min="9734" max="9734" width="25" style="1" customWidth="1"/>
    <col min="9735" max="9735" width="24" style="1" customWidth="1"/>
    <col min="9736" max="9736" width="28.5703125" style="1" customWidth="1"/>
    <col min="9737" max="9737" width="22.42578125" style="1" customWidth="1"/>
    <col min="9738" max="9738" width="18.140625" style="1" customWidth="1"/>
    <col min="9739" max="9739" width="21.28515625" style="1" customWidth="1"/>
    <col min="9740" max="9740" width="18.5703125" style="1" customWidth="1"/>
    <col min="9741" max="9741" width="23.28515625" style="1" customWidth="1"/>
    <col min="9742" max="9742" width="23.5703125" style="1" customWidth="1"/>
    <col min="9743" max="9743" width="16.7109375" style="1" customWidth="1"/>
    <col min="9744" max="9744" width="21.7109375" style="1" customWidth="1"/>
    <col min="9745" max="9986" width="11.42578125" style="1"/>
    <col min="9987" max="9987" width="3.42578125" style="1" customWidth="1"/>
    <col min="9988" max="9988" width="23.85546875" style="1" customWidth="1"/>
    <col min="9989" max="9989" width="27.42578125" style="1" customWidth="1"/>
    <col min="9990" max="9990" width="25" style="1" customWidth="1"/>
    <col min="9991" max="9991" width="24" style="1" customWidth="1"/>
    <col min="9992" max="9992" width="28.5703125" style="1" customWidth="1"/>
    <col min="9993" max="9993" width="22.42578125" style="1" customWidth="1"/>
    <col min="9994" max="9994" width="18.140625" style="1" customWidth="1"/>
    <col min="9995" max="9995" width="21.28515625" style="1" customWidth="1"/>
    <col min="9996" max="9996" width="18.5703125" style="1" customWidth="1"/>
    <col min="9997" max="9997" width="23.28515625" style="1" customWidth="1"/>
    <col min="9998" max="9998" width="23.5703125" style="1" customWidth="1"/>
    <col min="9999" max="9999" width="16.7109375" style="1" customWidth="1"/>
    <col min="10000" max="10000" width="21.7109375" style="1" customWidth="1"/>
    <col min="10001" max="10242" width="11.42578125" style="1"/>
    <col min="10243" max="10243" width="3.42578125" style="1" customWidth="1"/>
    <col min="10244" max="10244" width="23.85546875" style="1" customWidth="1"/>
    <col min="10245" max="10245" width="27.42578125" style="1" customWidth="1"/>
    <col min="10246" max="10246" width="25" style="1" customWidth="1"/>
    <col min="10247" max="10247" width="24" style="1" customWidth="1"/>
    <col min="10248" max="10248" width="28.5703125" style="1" customWidth="1"/>
    <col min="10249" max="10249" width="22.42578125" style="1" customWidth="1"/>
    <col min="10250" max="10250" width="18.140625" style="1" customWidth="1"/>
    <col min="10251" max="10251" width="21.28515625" style="1" customWidth="1"/>
    <col min="10252" max="10252" width="18.5703125" style="1" customWidth="1"/>
    <col min="10253" max="10253" width="23.28515625" style="1" customWidth="1"/>
    <col min="10254" max="10254" width="23.5703125" style="1" customWidth="1"/>
    <col min="10255" max="10255" width="16.7109375" style="1" customWidth="1"/>
    <col min="10256" max="10256" width="21.7109375" style="1" customWidth="1"/>
    <col min="10257" max="10498" width="11.42578125" style="1"/>
    <col min="10499" max="10499" width="3.42578125" style="1" customWidth="1"/>
    <col min="10500" max="10500" width="23.85546875" style="1" customWidth="1"/>
    <col min="10501" max="10501" width="27.42578125" style="1" customWidth="1"/>
    <col min="10502" max="10502" width="25" style="1" customWidth="1"/>
    <col min="10503" max="10503" width="24" style="1" customWidth="1"/>
    <col min="10504" max="10504" width="28.5703125" style="1" customWidth="1"/>
    <col min="10505" max="10505" width="22.42578125" style="1" customWidth="1"/>
    <col min="10506" max="10506" width="18.140625" style="1" customWidth="1"/>
    <col min="10507" max="10507" width="21.28515625" style="1" customWidth="1"/>
    <col min="10508" max="10508" width="18.5703125" style="1" customWidth="1"/>
    <col min="10509" max="10509" width="23.28515625" style="1" customWidth="1"/>
    <col min="10510" max="10510" width="23.5703125" style="1" customWidth="1"/>
    <col min="10511" max="10511" width="16.7109375" style="1" customWidth="1"/>
    <col min="10512" max="10512" width="21.7109375" style="1" customWidth="1"/>
    <col min="10513" max="10754" width="11.42578125" style="1"/>
    <col min="10755" max="10755" width="3.42578125" style="1" customWidth="1"/>
    <col min="10756" max="10756" width="23.85546875" style="1" customWidth="1"/>
    <col min="10757" max="10757" width="27.42578125" style="1" customWidth="1"/>
    <col min="10758" max="10758" width="25" style="1" customWidth="1"/>
    <col min="10759" max="10759" width="24" style="1" customWidth="1"/>
    <col min="10760" max="10760" width="28.5703125" style="1" customWidth="1"/>
    <col min="10761" max="10761" width="22.42578125" style="1" customWidth="1"/>
    <col min="10762" max="10762" width="18.140625" style="1" customWidth="1"/>
    <col min="10763" max="10763" width="21.28515625" style="1" customWidth="1"/>
    <col min="10764" max="10764" width="18.5703125" style="1" customWidth="1"/>
    <col min="10765" max="10765" width="23.28515625" style="1" customWidth="1"/>
    <col min="10766" max="10766" width="23.5703125" style="1" customWidth="1"/>
    <col min="10767" max="10767" width="16.7109375" style="1" customWidth="1"/>
    <col min="10768" max="10768" width="21.7109375" style="1" customWidth="1"/>
    <col min="10769" max="11010" width="11.42578125" style="1"/>
    <col min="11011" max="11011" width="3.42578125" style="1" customWidth="1"/>
    <col min="11012" max="11012" width="23.85546875" style="1" customWidth="1"/>
    <col min="11013" max="11013" width="27.42578125" style="1" customWidth="1"/>
    <col min="11014" max="11014" width="25" style="1" customWidth="1"/>
    <col min="11015" max="11015" width="24" style="1" customWidth="1"/>
    <col min="11016" max="11016" width="28.5703125" style="1" customWidth="1"/>
    <col min="11017" max="11017" width="22.42578125" style="1" customWidth="1"/>
    <col min="11018" max="11018" width="18.140625" style="1" customWidth="1"/>
    <col min="11019" max="11019" width="21.28515625" style="1" customWidth="1"/>
    <col min="11020" max="11020" width="18.5703125" style="1" customWidth="1"/>
    <col min="11021" max="11021" width="23.28515625" style="1" customWidth="1"/>
    <col min="11022" max="11022" width="23.5703125" style="1" customWidth="1"/>
    <col min="11023" max="11023" width="16.7109375" style="1" customWidth="1"/>
    <col min="11024" max="11024" width="21.7109375" style="1" customWidth="1"/>
    <col min="11025" max="11266" width="11.42578125" style="1"/>
    <col min="11267" max="11267" width="3.42578125" style="1" customWidth="1"/>
    <col min="11268" max="11268" width="23.85546875" style="1" customWidth="1"/>
    <col min="11269" max="11269" width="27.42578125" style="1" customWidth="1"/>
    <col min="11270" max="11270" width="25" style="1" customWidth="1"/>
    <col min="11271" max="11271" width="24" style="1" customWidth="1"/>
    <col min="11272" max="11272" width="28.5703125" style="1" customWidth="1"/>
    <col min="11273" max="11273" width="22.42578125" style="1" customWidth="1"/>
    <col min="11274" max="11274" width="18.140625" style="1" customWidth="1"/>
    <col min="11275" max="11275" width="21.28515625" style="1" customWidth="1"/>
    <col min="11276" max="11276" width="18.5703125" style="1" customWidth="1"/>
    <col min="11277" max="11277" width="23.28515625" style="1" customWidth="1"/>
    <col min="11278" max="11278" width="23.5703125" style="1" customWidth="1"/>
    <col min="11279" max="11279" width="16.7109375" style="1" customWidth="1"/>
    <col min="11280" max="11280" width="21.7109375" style="1" customWidth="1"/>
    <col min="11281" max="11522" width="11.42578125" style="1"/>
    <col min="11523" max="11523" width="3.42578125" style="1" customWidth="1"/>
    <col min="11524" max="11524" width="23.85546875" style="1" customWidth="1"/>
    <col min="11525" max="11525" width="27.42578125" style="1" customWidth="1"/>
    <col min="11526" max="11526" width="25" style="1" customWidth="1"/>
    <col min="11527" max="11527" width="24" style="1" customWidth="1"/>
    <col min="11528" max="11528" width="28.5703125" style="1" customWidth="1"/>
    <col min="11529" max="11529" width="22.42578125" style="1" customWidth="1"/>
    <col min="11530" max="11530" width="18.140625" style="1" customWidth="1"/>
    <col min="11531" max="11531" width="21.28515625" style="1" customWidth="1"/>
    <col min="11532" max="11532" width="18.5703125" style="1" customWidth="1"/>
    <col min="11533" max="11533" width="23.28515625" style="1" customWidth="1"/>
    <col min="11534" max="11534" width="23.5703125" style="1" customWidth="1"/>
    <col min="11535" max="11535" width="16.7109375" style="1" customWidth="1"/>
    <col min="11536" max="11536" width="21.7109375" style="1" customWidth="1"/>
    <col min="11537" max="11778" width="11.42578125" style="1"/>
    <col min="11779" max="11779" width="3.42578125" style="1" customWidth="1"/>
    <col min="11780" max="11780" width="23.85546875" style="1" customWidth="1"/>
    <col min="11781" max="11781" width="27.42578125" style="1" customWidth="1"/>
    <col min="11782" max="11782" width="25" style="1" customWidth="1"/>
    <col min="11783" max="11783" width="24" style="1" customWidth="1"/>
    <col min="11784" max="11784" width="28.5703125" style="1" customWidth="1"/>
    <col min="11785" max="11785" width="22.42578125" style="1" customWidth="1"/>
    <col min="11786" max="11786" width="18.140625" style="1" customWidth="1"/>
    <col min="11787" max="11787" width="21.28515625" style="1" customWidth="1"/>
    <col min="11788" max="11788" width="18.5703125" style="1" customWidth="1"/>
    <col min="11789" max="11789" width="23.28515625" style="1" customWidth="1"/>
    <col min="11790" max="11790" width="23.5703125" style="1" customWidth="1"/>
    <col min="11791" max="11791" width="16.7109375" style="1" customWidth="1"/>
    <col min="11792" max="11792" width="21.7109375" style="1" customWidth="1"/>
    <col min="11793" max="12034" width="11.42578125" style="1"/>
    <col min="12035" max="12035" width="3.42578125" style="1" customWidth="1"/>
    <col min="12036" max="12036" width="23.85546875" style="1" customWidth="1"/>
    <col min="12037" max="12037" width="27.42578125" style="1" customWidth="1"/>
    <col min="12038" max="12038" width="25" style="1" customWidth="1"/>
    <col min="12039" max="12039" width="24" style="1" customWidth="1"/>
    <col min="12040" max="12040" width="28.5703125" style="1" customWidth="1"/>
    <col min="12041" max="12041" width="22.42578125" style="1" customWidth="1"/>
    <col min="12042" max="12042" width="18.140625" style="1" customWidth="1"/>
    <col min="12043" max="12043" width="21.28515625" style="1" customWidth="1"/>
    <col min="12044" max="12044" width="18.5703125" style="1" customWidth="1"/>
    <col min="12045" max="12045" width="23.28515625" style="1" customWidth="1"/>
    <col min="12046" max="12046" width="23.5703125" style="1" customWidth="1"/>
    <col min="12047" max="12047" width="16.7109375" style="1" customWidth="1"/>
    <col min="12048" max="12048" width="21.7109375" style="1" customWidth="1"/>
    <col min="12049" max="12290" width="11.42578125" style="1"/>
    <col min="12291" max="12291" width="3.42578125" style="1" customWidth="1"/>
    <col min="12292" max="12292" width="23.85546875" style="1" customWidth="1"/>
    <col min="12293" max="12293" width="27.42578125" style="1" customWidth="1"/>
    <col min="12294" max="12294" width="25" style="1" customWidth="1"/>
    <col min="12295" max="12295" width="24" style="1" customWidth="1"/>
    <col min="12296" max="12296" width="28.5703125" style="1" customWidth="1"/>
    <col min="12297" max="12297" width="22.42578125" style="1" customWidth="1"/>
    <col min="12298" max="12298" width="18.140625" style="1" customWidth="1"/>
    <col min="12299" max="12299" width="21.28515625" style="1" customWidth="1"/>
    <col min="12300" max="12300" width="18.5703125" style="1" customWidth="1"/>
    <col min="12301" max="12301" width="23.28515625" style="1" customWidth="1"/>
    <col min="12302" max="12302" width="23.5703125" style="1" customWidth="1"/>
    <col min="12303" max="12303" width="16.7109375" style="1" customWidth="1"/>
    <col min="12304" max="12304" width="21.7109375" style="1" customWidth="1"/>
    <col min="12305" max="12546" width="11.42578125" style="1"/>
    <col min="12547" max="12547" width="3.42578125" style="1" customWidth="1"/>
    <col min="12548" max="12548" width="23.85546875" style="1" customWidth="1"/>
    <col min="12549" max="12549" width="27.42578125" style="1" customWidth="1"/>
    <col min="12550" max="12550" width="25" style="1" customWidth="1"/>
    <col min="12551" max="12551" width="24" style="1" customWidth="1"/>
    <col min="12552" max="12552" width="28.5703125" style="1" customWidth="1"/>
    <col min="12553" max="12553" width="22.42578125" style="1" customWidth="1"/>
    <col min="12554" max="12554" width="18.140625" style="1" customWidth="1"/>
    <col min="12555" max="12555" width="21.28515625" style="1" customWidth="1"/>
    <col min="12556" max="12556" width="18.5703125" style="1" customWidth="1"/>
    <col min="12557" max="12557" width="23.28515625" style="1" customWidth="1"/>
    <col min="12558" max="12558" width="23.5703125" style="1" customWidth="1"/>
    <col min="12559" max="12559" width="16.7109375" style="1" customWidth="1"/>
    <col min="12560" max="12560" width="21.7109375" style="1" customWidth="1"/>
    <col min="12561" max="12802" width="11.42578125" style="1"/>
    <col min="12803" max="12803" width="3.42578125" style="1" customWidth="1"/>
    <col min="12804" max="12804" width="23.85546875" style="1" customWidth="1"/>
    <col min="12805" max="12805" width="27.42578125" style="1" customWidth="1"/>
    <col min="12806" max="12806" width="25" style="1" customWidth="1"/>
    <col min="12807" max="12807" width="24" style="1" customWidth="1"/>
    <col min="12808" max="12808" width="28.5703125" style="1" customWidth="1"/>
    <col min="12809" max="12809" width="22.42578125" style="1" customWidth="1"/>
    <col min="12810" max="12810" width="18.140625" style="1" customWidth="1"/>
    <col min="12811" max="12811" width="21.28515625" style="1" customWidth="1"/>
    <col min="12812" max="12812" width="18.5703125" style="1" customWidth="1"/>
    <col min="12813" max="12813" width="23.28515625" style="1" customWidth="1"/>
    <col min="12814" max="12814" width="23.5703125" style="1" customWidth="1"/>
    <col min="12815" max="12815" width="16.7109375" style="1" customWidth="1"/>
    <col min="12816" max="12816" width="21.7109375" style="1" customWidth="1"/>
    <col min="12817" max="13058" width="11.42578125" style="1"/>
    <col min="13059" max="13059" width="3.42578125" style="1" customWidth="1"/>
    <col min="13060" max="13060" width="23.85546875" style="1" customWidth="1"/>
    <col min="13061" max="13061" width="27.42578125" style="1" customWidth="1"/>
    <col min="13062" max="13062" width="25" style="1" customWidth="1"/>
    <col min="13063" max="13063" width="24" style="1" customWidth="1"/>
    <col min="13064" max="13064" width="28.5703125" style="1" customWidth="1"/>
    <col min="13065" max="13065" width="22.42578125" style="1" customWidth="1"/>
    <col min="13066" max="13066" width="18.140625" style="1" customWidth="1"/>
    <col min="13067" max="13067" width="21.28515625" style="1" customWidth="1"/>
    <col min="13068" max="13068" width="18.5703125" style="1" customWidth="1"/>
    <col min="13069" max="13069" width="23.28515625" style="1" customWidth="1"/>
    <col min="13070" max="13070" width="23.5703125" style="1" customWidth="1"/>
    <col min="13071" max="13071" width="16.7109375" style="1" customWidth="1"/>
    <col min="13072" max="13072" width="21.7109375" style="1" customWidth="1"/>
    <col min="13073" max="13314" width="11.42578125" style="1"/>
    <col min="13315" max="13315" width="3.42578125" style="1" customWidth="1"/>
    <col min="13316" max="13316" width="23.85546875" style="1" customWidth="1"/>
    <col min="13317" max="13317" width="27.42578125" style="1" customWidth="1"/>
    <col min="13318" max="13318" width="25" style="1" customWidth="1"/>
    <col min="13319" max="13319" width="24" style="1" customWidth="1"/>
    <col min="13320" max="13320" width="28.5703125" style="1" customWidth="1"/>
    <col min="13321" max="13321" width="22.42578125" style="1" customWidth="1"/>
    <col min="13322" max="13322" width="18.140625" style="1" customWidth="1"/>
    <col min="13323" max="13323" width="21.28515625" style="1" customWidth="1"/>
    <col min="13324" max="13324" width="18.5703125" style="1" customWidth="1"/>
    <col min="13325" max="13325" width="23.28515625" style="1" customWidth="1"/>
    <col min="13326" max="13326" width="23.5703125" style="1" customWidth="1"/>
    <col min="13327" max="13327" width="16.7109375" style="1" customWidth="1"/>
    <col min="13328" max="13328" width="21.7109375" style="1" customWidth="1"/>
    <col min="13329" max="13570" width="11.42578125" style="1"/>
    <col min="13571" max="13571" width="3.42578125" style="1" customWidth="1"/>
    <col min="13572" max="13572" width="23.85546875" style="1" customWidth="1"/>
    <col min="13573" max="13573" width="27.42578125" style="1" customWidth="1"/>
    <col min="13574" max="13574" width="25" style="1" customWidth="1"/>
    <col min="13575" max="13575" width="24" style="1" customWidth="1"/>
    <col min="13576" max="13576" width="28.5703125" style="1" customWidth="1"/>
    <col min="13577" max="13577" width="22.42578125" style="1" customWidth="1"/>
    <col min="13578" max="13578" width="18.140625" style="1" customWidth="1"/>
    <col min="13579" max="13579" width="21.28515625" style="1" customWidth="1"/>
    <col min="13580" max="13580" width="18.5703125" style="1" customWidth="1"/>
    <col min="13581" max="13581" width="23.28515625" style="1" customWidth="1"/>
    <col min="13582" max="13582" width="23.5703125" style="1" customWidth="1"/>
    <col min="13583" max="13583" width="16.7109375" style="1" customWidth="1"/>
    <col min="13584" max="13584" width="21.7109375" style="1" customWidth="1"/>
    <col min="13585" max="13826" width="11.42578125" style="1"/>
    <col min="13827" max="13827" width="3.42578125" style="1" customWidth="1"/>
    <col min="13828" max="13828" width="23.85546875" style="1" customWidth="1"/>
    <col min="13829" max="13829" width="27.42578125" style="1" customWidth="1"/>
    <col min="13830" max="13830" width="25" style="1" customWidth="1"/>
    <col min="13831" max="13831" width="24" style="1" customWidth="1"/>
    <col min="13832" max="13832" width="28.5703125" style="1" customWidth="1"/>
    <col min="13833" max="13833" width="22.42578125" style="1" customWidth="1"/>
    <col min="13834" max="13834" width="18.140625" style="1" customWidth="1"/>
    <col min="13835" max="13835" width="21.28515625" style="1" customWidth="1"/>
    <col min="13836" max="13836" width="18.5703125" style="1" customWidth="1"/>
    <col min="13837" max="13837" width="23.28515625" style="1" customWidth="1"/>
    <col min="13838" max="13838" width="23.5703125" style="1" customWidth="1"/>
    <col min="13839" max="13839" width="16.7109375" style="1" customWidth="1"/>
    <col min="13840" max="13840" width="21.7109375" style="1" customWidth="1"/>
    <col min="13841" max="14082" width="11.42578125" style="1"/>
    <col min="14083" max="14083" width="3.42578125" style="1" customWidth="1"/>
    <col min="14084" max="14084" width="23.85546875" style="1" customWidth="1"/>
    <col min="14085" max="14085" width="27.42578125" style="1" customWidth="1"/>
    <col min="14086" max="14086" width="25" style="1" customWidth="1"/>
    <col min="14087" max="14087" width="24" style="1" customWidth="1"/>
    <col min="14088" max="14088" width="28.5703125" style="1" customWidth="1"/>
    <col min="14089" max="14089" width="22.42578125" style="1" customWidth="1"/>
    <col min="14090" max="14090" width="18.140625" style="1" customWidth="1"/>
    <col min="14091" max="14091" width="21.28515625" style="1" customWidth="1"/>
    <col min="14092" max="14092" width="18.5703125" style="1" customWidth="1"/>
    <col min="14093" max="14093" width="23.28515625" style="1" customWidth="1"/>
    <col min="14094" max="14094" width="23.5703125" style="1" customWidth="1"/>
    <col min="14095" max="14095" width="16.7109375" style="1" customWidth="1"/>
    <col min="14096" max="14096" width="21.7109375" style="1" customWidth="1"/>
    <col min="14097" max="14338" width="11.42578125" style="1"/>
    <col min="14339" max="14339" width="3.42578125" style="1" customWidth="1"/>
    <col min="14340" max="14340" width="23.85546875" style="1" customWidth="1"/>
    <col min="14341" max="14341" width="27.42578125" style="1" customWidth="1"/>
    <col min="14342" max="14342" width="25" style="1" customWidth="1"/>
    <col min="14343" max="14343" width="24" style="1" customWidth="1"/>
    <col min="14344" max="14344" width="28.5703125" style="1" customWidth="1"/>
    <col min="14345" max="14345" width="22.42578125" style="1" customWidth="1"/>
    <col min="14346" max="14346" width="18.140625" style="1" customWidth="1"/>
    <col min="14347" max="14347" width="21.28515625" style="1" customWidth="1"/>
    <col min="14348" max="14348" width="18.5703125" style="1" customWidth="1"/>
    <col min="14349" max="14349" width="23.28515625" style="1" customWidth="1"/>
    <col min="14350" max="14350" width="23.5703125" style="1" customWidth="1"/>
    <col min="14351" max="14351" width="16.7109375" style="1" customWidth="1"/>
    <col min="14352" max="14352" width="21.7109375" style="1" customWidth="1"/>
    <col min="14353" max="14594" width="11.42578125" style="1"/>
    <col min="14595" max="14595" width="3.42578125" style="1" customWidth="1"/>
    <col min="14596" max="14596" width="23.85546875" style="1" customWidth="1"/>
    <col min="14597" max="14597" width="27.42578125" style="1" customWidth="1"/>
    <col min="14598" max="14598" width="25" style="1" customWidth="1"/>
    <col min="14599" max="14599" width="24" style="1" customWidth="1"/>
    <col min="14600" max="14600" width="28.5703125" style="1" customWidth="1"/>
    <col min="14601" max="14601" width="22.42578125" style="1" customWidth="1"/>
    <col min="14602" max="14602" width="18.140625" style="1" customWidth="1"/>
    <col min="14603" max="14603" width="21.28515625" style="1" customWidth="1"/>
    <col min="14604" max="14604" width="18.5703125" style="1" customWidth="1"/>
    <col min="14605" max="14605" width="23.28515625" style="1" customWidth="1"/>
    <col min="14606" max="14606" width="23.5703125" style="1" customWidth="1"/>
    <col min="14607" max="14607" width="16.7109375" style="1" customWidth="1"/>
    <col min="14608" max="14608" width="21.7109375" style="1" customWidth="1"/>
    <col min="14609" max="14850" width="11.42578125" style="1"/>
    <col min="14851" max="14851" width="3.42578125" style="1" customWidth="1"/>
    <col min="14852" max="14852" width="23.85546875" style="1" customWidth="1"/>
    <col min="14853" max="14853" width="27.42578125" style="1" customWidth="1"/>
    <col min="14854" max="14854" width="25" style="1" customWidth="1"/>
    <col min="14855" max="14855" width="24" style="1" customWidth="1"/>
    <col min="14856" max="14856" width="28.5703125" style="1" customWidth="1"/>
    <col min="14857" max="14857" width="22.42578125" style="1" customWidth="1"/>
    <col min="14858" max="14858" width="18.140625" style="1" customWidth="1"/>
    <col min="14859" max="14859" width="21.28515625" style="1" customWidth="1"/>
    <col min="14860" max="14860" width="18.5703125" style="1" customWidth="1"/>
    <col min="14861" max="14861" width="23.28515625" style="1" customWidth="1"/>
    <col min="14862" max="14862" width="23.5703125" style="1" customWidth="1"/>
    <col min="14863" max="14863" width="16.7109375" style="1" customWidth="1"/>
    <col min="14864" max="14864" width="21.7109375" style="1" customWidth="1"/>
    <col min="14865" max="15106" width="11.42578125" style="1"/>
    <col min="15107" max="15107" width="3.42578125" style="1" customWidth="1"/>
    <col min="15108" max="15108" width="23.85546875" style="1" customWidth="1"/>
    <col min="15109" max="15109" width="27.42578125" style="1" customWidth="1"/>
    <col min="15110" max="15110" width="25" style="1" customWidth="1"/>
    <col min="15111" max="15111" width="24" style="1" customWidth="1"/>
    <col min="15112" max="15112" width="28.5703125" style="1" customWidth="1"/>
    <col min="15113" max="15113" width="22.42578125" style="1" customWidth="1"/>
    <col min="15114" max="15114" width="18.140625" style="1" customWidth="1"/>
    <col min="15115" max="15115" width="21.28515625" style="1" customWidth="1"/>
    <col min="15116" max="15116" width="18.5703125" style="1" customWidth="1"/>
    <col min="15117" max="15117" width="23.28515625" style="1" customWidth="1"/>
    <col min="15118" max="15118" width="23.5703125" style="1" customWidth="1"/>
    <col min="15119" max="15119" width="16.7109375" style="1" customWidth="1"/>
    <col min="15120" max="15120" width="21.7109375" style="1" customWidth="1"/>
    <col min="15121" max="15362" width="11.42578125" style="1"/>
    <col min="15363" max="15363" width="3.42578125" style="1" customWidth="1"/>
    <col min="15364" max="15364" width="23.85546875" style="1" customWidth="1"/>
    <col min="15365" max="15365" width="27.42578125" style="1" customWidth="1"/>
    <col min="15366" max="15366" width="25" style="1" customWidth="1"/>
    <col min="15367" max="15367" width="24" style="1" customWidth="1"/>
    <col min="15368" max="15368" width="28.5703125" style="1" customWidth="1"/>
    <col min="15369" max="15369" width="22.42578125" style="1" customWidth="1"/>
    <col min="15370" max="15370" width="18.140625" style="1" customWidth="1"/>
    <col min="15371" max="15371" width="21.28515625" style="1" customWidth="1"/>
    <col min="15372" max="15372" width="18.5703125" style="1" customWidth="1"/>
    <col min="15373" max="15373" width="23.28515625" style="1" customWidth="1"/>
    <col min="15374" max="15374" width="23.5703125" style="1" customWidth="1"/>
    <col min="15375" max="15375" width="16.7109375" style="1" customWidth="1"/>
    <col min="15376" max="15376" width="21.7109375" style="1" customWidth="1"/>
    <col min="15377" max="15618" width="11.42578125" style="1"/>
    <col min="15619" max="15619" width="3.42578125" style="1" customWidth="1"/>
    <col min="15620" max="15620" width="23.85546875" style="1" customWidth="1"/>
    <col min="15621" max="15621" width="27.42578125" style="1" customWidth="1"/>
    <col min="15622" max="15622" width="25" style="1" customWidth="1"/>
    <col min="15623" max="15623" width="24" style="1" customWidth="1"/>
    <col min="15624" max="15624" width="28.5703125" style="1" customWidth="1"/>
    <col min="15625" max="15625" width="22.42578125" style="1" customWidth="1"/>
    <col min="15626" max="15626" width="18.140625" style="1" customWidth="1"/>
    <col min="15627" max="15627" width="21.28515625" style="1" customWidth="1"/>
    <col min="15628" max="15628" width="18.5703125" style="1" customWidth="1"/>
    <col min="15629" max="15629" width="23.28515625" style="1" customWidth="1"/>
    <col min="15630" max="15630" width="23.5703125" style="1" customWidth="1"/>
    <col min="15631" max="15631" width="16.7109375" style="1" customWidth="1"/>
    <col min="15632" max="15632" width="21.7109375" style="1" customWidth="1"/>
    <col min="15633" max="15874" width="11.42578125" style="1"/>
    <col min="15875" max="15875" width="3.42578125" style="1" customWidth="1"/>
    <col min="15876" max="15876" width="23.85546875" style="1" customWidth="1"/>
    <col min="15877" max="15877" width="27.42578125" style="1" customWidth="1"/>
    <col min="15878" max="15878" width="25" style="1" customWidth="1"/>
    <col min="15879" max="15879" width="24" style="1" customWidth="1"/>
    <col min="15880" max="15880" width="28.5703125" style="1" customWidth="1"/>
    <col min="15881" max="15881" width="22.42578125" style="1" customWidth="1"/>
    <col min="15882" max="15882" width="18.140625" style="1" customWidth="1"/>
    <col min="15883" max="15883" width="21.28515625" style="1" customWidth="1"/>
    <col min="15884" max="15884" width="18.5703125" style="1" customWidth="1"/>
    <col min="15885" max="15885" width="23.28515625" style="1" customWidth="1"/>
    <col min="15886" max="15886" width="23.5703125" style="1" customWidth="1"/>
    <col min="15887" max="15887" width="16.7109375" style="1" customWidth="1"/>
    <col min="15888" max="15888" width="21.7109375" style="1" customWidth="1"/>
    <col min="15889" max="16130" width="11.42578125" style="1"/>
    <col min="16131" max="16131" width="3.42578125" style="1" customWidth="1"/>
    <col min="16132" max="16132" width="23.85546875" style="1" customWidth="1"/>
    <col min="16133" max="16133" width="27.42578125" style="1" customWidth="1"/>
    <col min="16134" max="16134" width="25" style="1" customWidth="1"/>
    <col min="16135" max="16135" width="24" style="1" customWidth="1"/>
    <col min="16136" max="16136" width="28.5703125" style="1" customWidth="1"/>
    <col min="16137" max="16137" width="22.42578125" style="1" customWidth="1"/>
    <col min="16138" max="16138" width="18.140625" style="1" customWidth="1"/>
    <col min="16139" max="16139" width="21.28515625" style="1" customWidth="1"/>
    <col min="16140" max="16140" width="18.5703125" style="1" customWidth="1"/>
    <col min="16141" max="16141" width="23.28515625" style="1" customWidth="1"/>
    <col min="16142" max="16142" width="23.5703125" style="1" customWidth="1"/>
    <col min="16143" max="16143" width="16.7109375" style="1" customWidth="1"/>
    <col min="16144" max="16144" width="21.7109375" style="1" customWidth="1"/>
    <col min="16145" max="16384" width="11.42578125" style="1"/>
  </cols>
  <sheetData>
    <row r="1" spans="1:20" ht="12.75" customHeight="1" x14ac:dyDescent="0.25">
      <c r="B1" s="25"/>
      <c r="C1" s="25"/>
      <c r="D1" s="25"/>
      <c r="E1" s="25"/>
      <c r="F1" s="25"/>
      <c r="G1" s="25"/>
      <c r="H1" s="25"/>
      <c r="I1" s="25"/>
      <c r="J1" s="25"/>
      <c r="K1" s="25"/>
      <c r="L1" s="25"/>
      <c r="M1" s="25"/>
      <c r="N1" s="25"/>
      <c r="O1" s="25"/>
      <c r="P1" s="25"/>
      <c r="Q1" s="25"/>
    </row>
    <row r="2" spans="1:20" ht="10.5" customHeight="1" x14ac:dyDescent="0.25">
      <c r="B2" s="25"/>
      <c r="C2" s="25"/>
      <c r="D2" s="25"/>
      <c r="E2" s="25"/>
      <c r="F2" s="25"/>
      <c r="G2" s="25"/>
      <c r="H2" s="25"/>
      <c r="I2" s="25"/>
      <c r="J2" s="25"/>
      <c r="K2" s="25"/>
      <c r="L2" s="25"/>
      <c r="M2" s="25"/>
      <c r="N2" s="25"/>
      <c r="O2" s="25"/>
      <c r="P2" s="25"/>
      <c r="Q2" s="25"/>
    </row>
    <row r="3" spans="1:20" ht="12.75" hidden="1" customHeight="1" x14ac:dyDescent="0.25">
      <c r="B3" s="25"/>
      <c r="C3" s="25"/>
      <c r="D3" s="25"/>
      <c r="E3" s="25"/>
      <c r="F3" s="25"/>
      <c r="G3" s="25"/>
      <c r="H3" s="25"/>
      <c r="I3" s="25"/>
      <c r="J3" s="25"/>
      <c r="K3" s="25"/>
      <c r="L3" s="25"/>
      <c r="M3" s="25"/>
      <c r="N3" s="25"/>
      <c r="O3" s="25"/>
      <c r="P3" s="25"/>
      <c r="Q3" s="25"/>
    </row>
    <row r="4" spans="1:20" ht="12.75" hidden="1" customHeight="1" x14ac:dyDescent="0.25">
      <c r="B4" s="25"/>
      <c r="C4" s="25"/>
      <c r="D4" s="25"/>
      <c r="E4" s="25"/>
      <c r="F4" s="25"/>
      <c r="G4" s="25"/>
      <c r="H4" s="25"/>
      <c r="I4" s="25"/>
      <c r="J4" s="25"/>
      <c r="K4" s="25"/>
      <c r="L4" s="25"/>
      <c r="M4" s="25"/>
      <c r="N4" s="25"/>
      <c r="O4" s="25"/>
      <c r="P4" s="25"/>
      <c r="Q4" s="25"/>
    </row>
    <row r="5" spans="1:20" s="61" customFormat="1" ht="39.75" customHeight="1" x14ac:dyDescent="0.25">
      <c r="A5" s="502"/>
      <c r="B5" s="503"/>
      <c r="C5" s="485" t="s">
        <v>809</v>
      </c>
      <c r="D5" s="485"/>
      <c r="E5" s="485"/>
      <c r="F5" s="485"/>
      <c r="G5" s="485"/>
      <c r="H5" s="485"/>
      <c r="I5" s="485"/>
      <c r="J5" s="483" t="s">
        <v>810</v>
      </c>
      <c r="K5" s="484"/>
      <c r="L5" s="382"/>
      <c r="M5" s="382"/>
      <c r="N5" s="382"/>
      <c r="O5" s="382"/>
      <c r="P5" s="382"/>
      <c r="Q5" s="382"/>
    </row>
    <row r="6" spans="1:20" ht="29.25" customHeight="1" x14ac:dyDescent="0.25">
      <c r="A6" s="504"/>
      <c r="B6" s="505"/>
      <c r="C6" s="485"/>
      <c r="D6" s="485"/>
      <c r="E6" s="485"/>
      <c r="F6" s="485"/>
      <c r="G6" s="485"/>
      <c r="H6" s="485"/>
      <c r="I6" s="485"/>
      <c r="J6" s="484"/>
      <c r="K6" s="484"/>
      <c r="L6" s="381"/>
      <c r="M6" s="382"/>
      <c r="N6" s="382"/>
      <c r="O6" s="382"/>
      <c r="P6" s="382"/>
      <c r="Q6" s="382"/>
    </row>
    <row r="7" spans="1:20" ht="12.75" customHeight="1" x14ac:dyDescent="0.25">
      <c r="A7" s="521"/>
      <c r="B7" s="521"/>
      <c r="C7" s="521"/>
      <c r="D7" s="521"/>
      <c r="E7" s="521"/>
      <c r="F7" s="521"/>
      <c r="G7" s="521"/>
      <c r="H7" s="521"/>
      <c r="I7" s="25"/>
      <c r="J7" s="25"/>
      <c r="K7" s="25"/>
      <c r="L7" s="25"/>
      <c r="M7" s="25"/>
      <c r="N7" s="25"/>
      <c r="O7" s="25"/>
      <c r="P7" s="25"/>
      <c r="Q7" s="25"/>
      <c r="R7" s="70"/>
      <c r="S7" s="70"/>
      <c r="T7" s="70"/>
    </row>
    <row r="8" spans="1:20" ht="17.25" customHeight="1" x14ac:dyDescent="0.25">
      <c r="A8" s="500" t="s">
        <v>0</v>
      </c>
      <c r="B8" s="500"/>
      <c r="C8" s="500"/>
      <c r="D8" s="500"/>
      <c r="E8" s="500"/>
      <c r="F8" s="500"/>
      <c r="G8" s="500"/>
      <c r="H8" s="500"/>
      <c r="I8" s="25"/>
      <c r="J8" s="25"/>
      <c r="K8" s="25"/>
      <c r="L8" s="25"/>
      <c r="M8" s="25"/>
      <c r="N8" s="25"/>
      <c r="O8" s="25"/>
      <c r="P8" s="25"/>
      <c r="Q8" s="25"/>
      <c r="R8" s="361"/>
      <c r="S8" s="361"/>
    </row>
    <row r="9" spans="1:20" ht="19.5" customHeight="1" x14ac:dyDescent="0.25">
      <c r="A9" s="500" t="s">
        <v>2</v>
      </c>
      <c r="B9" s="500"/>
      <c r="C9" s="500"/>
      <c r="D9" s="500"/>
      <c r="E9" s="500"/>
      <c r="F9" s="500"/>
      <c r="G9" s="500"/>
      <c r="H9" s="500"/>
      <c r="I9" s="25"/>
      <c r="J9" s="25"/>
      <c r="K9" s="25"/>
      <c r="L9" s="25"/>
      <c r="M9" s="25"/>
      <c r="N9" s="25"/>
      <c r="O9" s="25"/>
      <c r="P9" s="25"/>
      <c r="Q9" s="25"/>
      <c r="R9" s="361"/>
      <c r="S9" s="361"/>
    </row>
    <row r="10" spans="1:20" ht="19.5" customHeight="1" x14ac:dyDescent="0.25">
      <c r="A10" s="500"/>
      <c r="B10" s="500"/>
      <c r="C10" s="500"/>
      <c r="D10" s="500"/>
      <c r="E10" s="500"/>
      <c r="F10" s="500"/>
      <c r="G10" s="500"/>
      <c r="H10" s="500"/>
      <c r="I10" s="25"/>
      <c r="J10" s="25"/>
      <c r="K10" s="25"/>
      <c r="L10" s="25"/>
      <c r="M10" s="25"/>
      <c r="N10" s="25"/>
      <c r="O10" s="25"/>
      <c r="P10" s="25"/>
      <c r="Q10" s="25"/>
      <c r="R10" s="361"/>
      <c r="S10" s="361"/>
    </row>
    <row r="11" spans="1:20" ht="15.75" customHeight="1" x14ac:dyDescent="0.25">
      <c r="B11" s="377" t="s">
        <v>307</v>
      </c>
      <c r="C11" s="467" t="str">
        <f>_xlfn.IFNA(VLOOKUP(C12,LISTAS!$F$3:$H$100,3,),"")</f>
        <v xml:space="preserve">150000 - DIRECCIÓN SECTOR HACIENDA </v>
      </c>
      <c r="D11" s="467"/>
      <c r="E11" s="60"/>
      <c r="F11" s="61"/>
      <c r="G11" s="61"/>
      <c r="H11" s="61"/>
      <c r="I11" s="25"/>
      <c r="J11" s="25"/>
      <c r="K11" s="25"/>
      <c r="L11" s="25"/>
      <c r="M11" s="25"/>
      <c r="N11" s="25"/>
      <c r="O11" s="25"/>
      <c r="P11" s="25"/>
      <c r="Q11" s="25"/>
      <c r="R11" s="63"/>
      <c r="S11" s="70"/>
    </row>
    <row r="12" spans="1:20" s="61" customFormat="1" ht="36" customHeight="1" x14ac:dyDescent="0.25">
      <c r="B12" s="378" t="s">
        <v>328</v>
      </c>
      <c r="C12" s="468" t="str">
        <f>IF('ANALITICA PRESUPUESTO'!$B$8="","",'ANALITICA PRESUPUESTO'!$B$8)</f>
        <v>111 - Secretaría Distrital de Hacienda – SDH</v>
      </c>
      <c r="D12" s="468"/>
      <c r="E12" s="70"/>
      <c r="F12" s="377" t="s">
        <v>226</v>
      </c>
      <c r="G12" s="518"/>
      <c r="H12" s="518"/>
      <c r="I12" s="382"/>
      <c r="J12" s="382"/>
      <c r="K12" s="381"/>
      <c r="L12" s="381"/>
      <c r="M12" s="382"/>
      <c r="N12" s="382"/>
      <c r="O12" s="382"/>
      <c r="P12" s="382"/>
      <c r="Q12" s="382"/>
      <c r="R12" s="320"/>
      <c r="S12" s="70"/>
    </row>
    <row r="13" spans="1:20" ht="19.5" customHeight="1" x14ac:dyDescent="0.25">
      <c r="B13" s="377" t="s">
        <v>225</v>
      </c>
      <c r="C13" s="499"/>
      <c r="D13" s="499"/>
      <c r="E13" s="70"/>
      <c r="F13" s="377" t="s">
        <v>308</v>
      </c>
      <c r="G13" s="501"/>
      <c r="H13" s="501"/>
      <c r="I13" s="25"/>
      <c r="J13" s="25"/>
      <c r="K13" s="25"/>
      <c r="L13" s="25"/>
      <c r="M13" s="25"/>
      <c r="N13" s="25"/>
      <c r="O13" s="25"/>
      <c r="P13" s="25"/>
      <c r="Q13" s="25"/>
      <c r="R13" s="320"/>
      <c r="S13" s="70"/>
    </row>
    <row r="14" spans="1:20" ht="19.5" customHeight="1" x14ac:dyDescent="0.25">
      <c r="B14" s="377" t="s">
        <v>309</v>
      </c>
      <c r="C14" s="469"/>
      <c r="D14" s="469"/>
      <c r="E14" s="70"/>
      <c r="F14" s="64" t="s">
        <v>310</v>
      </c>
      <c r="G14" s="501"/>
      <c r="H14" s="501"/>
      <c r="I14" s="25"/>
      <c r="J14" s="25"/>
      <c r="K14" s="25"/>
      <c r="L14" s="25"/>
      <c r="M14" s="25"/>
      <c r="N14" s="25"/>
      <c r="O14" s="25"/>
      <c r="P14" s="25"/>
      <c r="Q14" s="25"/>
      <c r="R14" s="320"/>
      <c r="S14" s="70"/>
    </row>
    <row r="15" spans="1:20" s="61" customFormat="1" ht="12.75" customHeight="1" x14ac:dyDescent="0.25">
      <c r="B15" s="377"/>
      <c r="C15" s="78"/>
      <c r="D15" s="70"/>
      <c r="E15" s="70"/>
      <c r="F15" s="64"/>
      <c r="G15" s="85"/>
      <c r="H15" s="85"/>
      <c r="I15" s="25"/>
      <c r="J15" s="25"/>
      <c r="K15" s="25"/>
      <c r="L15" s="25"/>
      <c r="M15" s="25"/>
      <c r="N15" s="25"/>
      <c r="O15" s="25"/>
      <c r="P15" s="25"/>
      <c r="Q15" s="25"/>
      <c r="R15" s="320"/>
      <c r="S15" s="70"/>
    </row>
    <row r="16" spans="1:20" s="61" customFormat="1" ht="12.75" customHeight="1" x14ac:dyDescent="0.25">
      <c r="B16" s="382"/>
      <c r="C16" s="383"/>
      <c r="D16" s="384"/>
      <c r="E16" s="384"/>
      <c r="F16" s="382"/>
      <c r="G16" s="382"/>
      <c r="H16" s="48"/>
      <c r="I16" s="25"/>
      <c r="J16" s="25"/>
      <c r="K16" s="25"/>
      <c r="L16" s="25"/>
      <c r="M16" s="25"/>
      <c r="N16" s="25"/>
      <c r="O16" s="25"/>
      <c r="P16" s="25"/>
      <c r="Q16" s="25"/>
    </row>
    <row r="17" spans="1:17" s="61" customFormat="1" ht="12.75" customHeight="1" x14ac:dyDescent="0.25">
      <c r="A17" s="382"/>
      <c r="B17" s="512" t="s">
        <v>265</v>
      </c>
      <c r="C17" s="512"/>
      <c r="D17" s="512"/>
      <c r="E17" s="512"/>
      <c r="F17" s="512"/>
      <c r="G17" s="512"/>
      <c r="H17" s="512"/>
      <c r="I17" s="382"/>
      <c r="J17" s="382"/>
      <c r="K17" s="381"/>
      <c r="L17" s="381"/>
      <c r="M17" s="382"/>
      <c r="N17" s="382"/>
      <c r="O17" s="382"/>
      <c r="P17" s="382"/>
      <c r="Q17" s="382"/>
    </row>
    <row r="18" spans="1:17" ht="12.75" customHeight="1" x14ac:dyDescent="0.25">
      <c r="B18" s="512"/>
      <c r="C18" s="512"/>
      <c r="D18" s="512"/>
      <c r="E18" s="512"/>
      <c r="F18" s="512"/>
      <c r="G18" s="512"/>
      <c r="H18" s="512"/>
      <c r="I18" s="25"/>
      <c r="J18" s="25"/>
      <c r="K18" s="25"/>
      <c r="L18" s="25"/>
      <c r="M18" s="25"/>
      <c r="N18" s="25"/>
      <c r="O18" s="25"/>
      <c r="P18" s="25"/>
      <c r="Q18" s="25"/>
    </row>
    <row r="19" spans="1:17" ht="12.75" customHeight="1" x14ac:dyDescent="0.25">
      <c r="B19" s="385"/>
      <c r="C19" s="385"/>
      <c r="D19" s="385"/>
      <c r="E19" s="385"/>
      <c r="F19" s="385"/>
      <c r="G19" s="385"/>
      <c r="H19" s="385"/>
      <c r="I19" s="25"/>
      <c r="J19" s="25"/>
      <c r="K19" s="25"/>
      <c r="L19" s="25"/>
      <c r="M19" s="25"/>
      <c r="N19" s="25"/>
      <c r="O19" s="25"/>
      <c r="P19" s="25"/>
      <c r="Q19" s="25"/>
    </row>
    <row r="20" spans="1:17" ht="12.75" customHeight="1" x14ac:dyDescent="0.25">
      <c r="B20" s="386"/>
      <c r="C20" s="386"/>
      <c r="D20" s="386"/>
      <c r="E20" s="386"/>
      <c r="F20" s="386"/>
      <c r="G20" s="386"/>
      <c r="H20" s="386"/>
      <c r="I20" s="25"/>
      <c r="J20" s="25"/>
      <c r="K20" s="25"/>
      <c r="L20" s="25"/>
      <c r="M20" s="25"/>
      <c r="N20" s="25"/>
      <c r="O20" s="25"/>
      <c r="P20" s="25"/>
      <c r="Q20" s="25"/>
    </row>
    <row r="21" spans="1:17" ht="12.75" customHeight="1" x14ac:dyDescent="0.25">
      <c r="B21" s="515" t="s">
        <v>412</v>
      </c>
      <c r="C21" s="516"/>
      <c r="D21" s="516"/>
      <c r="E21" s="516"/>
      <c r="F21" s="516"/>
      <c r="G21" s="516"/>
      <c r="H21" s="516"/>
      <c r="I21" s="516"/>
      <c r="J21" s="516"/>
      <c r="K21" s="516"/>
      <c r="L21" s="25"/>
      <c r="M21" s="25"/>
      <c r="N21" s="25"/>
      <c r="O21" s="25"/>
      <c r="P21" s="25"/>
      <c r="Q21" s="25"/>
    </row>
    <row r="22" spans="1:17" ht="12.75" customHeight="1" x14ac:dyDescent="0.25">
      <c r="B22" s="90"/>
      <c r="C22" s="90"/>
      <c r="D22" s="90"/>
      <c r="E22" s="90"/>
      <c r="F22" s="90"/>
      <c r="G22" s="90"/>
      <c r="H22" s="90"/>
      <c r="I22" s="90"/>
      <c r="J22" s="88"/>
      <c r="K22" s="88"/>
      <c r="L22" s="25"/>
      <c r="M22" s="25"/>
      <c r="N22" s="25"/>
      <c r="O22" s="25"/>
      <c r="P22" s="25"/>
      <c r="Q22" s="25"/>
    </row>
    <row r="23" spans="1:17" ht="12.75" customHeight="1" x14ac:dyDescent="0.25">
      <c r="B23" s="517" t="s">
        <v>433</v>
      </c>
      <c r="C23" s="517"/>
      <c r="D23" s="517"/>
      <c r="E23" s="517"/>
      <c r="F23" s="517"/>
      <c r="G23" s="517"/>
      <c r="H23" s="517"/>
      <c r="I23" s="517"/>
      <c r="J23" s="517"/>
      <c r="K23" s="517"/>
      <c r="L23" s="26"/>
      <c r="M23" s="26"/>
      <c r="N23" s="15"/>
      <c r="O23" s="26"/>
      <c r="P23" s="26"/>
      <c r="Q23" s="25"/>
    </row>
    <row r="24" spans="1:17" ht="21.75" customHeight="1" x14ac:dyDescent="0.25">
      <c r="B24" s="531" t="s">
        <v>6</v>
      </c>
      <c r="C24" s="532"/>
      <c r="D24" s="532"/>
      <c r="E24" s="532"/>
      <c r="F24" s="532"/>
      <c r="G24" s="532"/>
      <c r="H24" s="532"/>
      <c r="I24" s="533"/>
      <c r="J24" s="525" t="s">
        <v>7</v>
      </c>
      <c r="K24" s="525"/>
      <c r="L24" s="26"/>
      <c r="M24" s="26"/>
      <c r="N24" s="15"/>
      <c r="O24" s="26"/>
      <c r="P24" s="26"/>
      <c r="Q24" s="25"/>
    </row>
    <row r="25" spans="1:17" ht="73.5" customHeight="1" x14ac:dyDescent="0.25">
      <c r="B25" s="5" t="s">
        <v>559</v>
      </c>
      <c r="C25" s="6" t="s">
        <v>8</v>
      </c>
      <c r="D25" s="5" t="s">
        <v>420</v>
      </c>
      <c r="E25" s="7" t="s">
        <v>8</v>
      </c>
      <c r="F25" s="5" t="s">
        <v>264</v>
      </c>
      <c r="G25" s="7" t="s">
        <v>8</v>
      </c>
      <c r="H25" s="8" t="s">
        <v>9</v>
      </c>
      <c r="I25" s="7" t="s">
        <v>8</v>
      </c>
      <c r="J25" s="5" t="s">
        <v>421</v>
      </c>
      <c r="K25" s="7" t="s">
        <v>8</v>
      </c>
      <c r="L25" s="364"/>
      <c r="M25" s="364"/>
      <c r="N25" s="9"/>
      <c r="O25" s="10"/>
      <c r="P25" s="9"/>
    </row>
    <row r="26" spans="1:17" ht="12.75" customHeight="1" x14ac:dyDescent="0.25">
      <c r="B26" s="11" t="s">
        <v>558</v>
      </c>
      <c r="C26" s="100">
        <v>1</v>
      </c>
      <c r="D26" s="13" t="s">
        <v>75</v>
      </c>
      <c r="E26" s="12">
        <v>1</v>
      </c>
      <c r="F26" s="19" t="s">
        <v>19</v>
      </c>
      <c r="G26" s="12">
        <v>1</v>
      </c>
      <c r="H26" s="11" t="s">
        <v>10</v>
      </c>
      <c r="I26" s="12">
        <v>1</v>
      </c>
      <c r="J26" s="11" t="s">
        <v>11</v>
      </c>
      <c r="K26" s="12">
        <v>1</v>
      </c>
      <c r="L26" s="15"/>
      <c r="M26" s="15"/>
      <c r="N26" s="14"/>
      <c r="O26" s="15"/>
      <c r="P26" s="16"/>
    </row>
    <row r="27" spans="1:17" ht="12.75" customHeight="1" x14ac:dyDescent="0.25">
      <c r="B27" s="11" t="s">
        <v>560</v>
      </c>
      <c r="C27" s="100">
        <v>2</v>
      </c>
      <c r="D27" s="11" t="s">
        <v>12</v>
      </c>
      <c r="E27" s="17">
        <v>2</v>
      </c>
      <c r="F27" s="19" t="s">
        <v>16</v>
      </c>
      <c r="G27" s="17">
        <v>2</v>
      </c>
      <c r="H27" s="11" t="s">
        <v>13</v>
      </c>
      <c r="I27" s="12">
        <v>4</v>
      </c>
      <c r="J27" s="11" t="s">
        <v>14</v>
      </c>
      <c r="K27" s="12">
        <v>2</v>
      </c>
      <c r="L27" s="26"/>
      <c r="M27" s="26"/>
      <c r="N27" s="14"/>
      <c r="O27" s="15"/>
      <c r="P27" s="14"/>
    </row>
    <row r="28" spans="1:17" ht="12.75" customHeight="1" x14ac:dyDescent="0.25">
      <c r="B28" s="11" t="s">
        <v>561</v>
      </c>
      <c r="C28" s="100">
        <v>3</v>
      </c>
      <c r="D28" s="13" t="s">
        <v>82</v>
      </c>
      <c r="E28" s="18">
        <v>3</v>
      </c>
      <c r="F28" s="11" t="s">
        <v>228</v>
      </c>
      <c r="G28" s="18">
        <v>3</v>
      </c>
      <c r="H28" s="11" t="s">
        <v>452</v>
      </c>
      <c r="I28" s="21"/>
      <c r="J28" s="11" t="s">
        <v>17</v>
      </c>
      <c r="K28" s="12">
        <v>3</v>
      </c>
      <c r="L28" s="26"/>
      <c r="M28" s="26"/>
      <c r="N28" s="14"/>
      <c r="O28" s="22"/>
      <c r="P28" s="16"/>
    </row>
    <row r="29" spans="1:17" ht="12.75" customHeight="1" x14ac:dyDescent="0.25">
      <c r="B29" s="11" t="s">
        <v>222</v>
      </c>
      <c r="C29" s="100">
        <v>4</v>
      </c>
      <c r="D29" s="11" t="s">
        <v>18</v>
      </c>
      <c r="E29" s="12">
        <v>4</v>
      </c>
      <c r="F29" s="13" t="s">
        <v>227</v>
      </c>
      <c r="G29" s="12">
        <v>4</v>
      </c>
      <c r="H29" s="20"/>
      <c r="I29" s="12"/>
      <c r="J29" s="11" t="s">
        <v>20</v>
      </c>
      <c r="K29" s="17">
        <v>4</v>
      </c>
      <c r="L29" s="14"/>
      <c r="M29" s="14"/>
      <c r="N29" s="23"/>
      <c r="O29" s="24"/>
      <c r="P29" s="25"/>
    </row>
    <row r="30" spans="1:17" ht="12.75" customHeight="1" x14ac:dyDescent="0.25">
      <c r="B30" s="11" t="s">
        <v>425</v>
      </c>
      <c r="C30" s="107" t="s">
        <v>426</v>
      </c>
      <c r="D30" s="11" t="s">
        <v>452</v>
      </c>
      <c r="E30" s="12"/>
      <c r="F30" s="11" t="s">
        <v>452</v>
      </c>
      <c r="G30" s="12"/>
      <c r="H30" s="20"/>
      <c r="I30" s="12"/>
      <c r="J30" s="11" t="s">
        <v>452</v>
      </c>
      <c r="K30" s="17"/>
      <c r="L30" s="14"/>
      <c r="M30" s="14"/>
      <c r="N30" s="26"/>
      <c r="O30" s="27"/>
      <c r="P30" s="28"/>
    </row>
    <row r="31" spans="1:17" ht="12.75" customHeight="1" x14ac:dyDescent="0.25">
      <c r="B31" s="11" t="s">
        <v>452</v>
      </c>
      <c r="C31" s="107" t="s">
        <v>426</v>
      </c>
      <c r="D31" s="11"/>
      <c r="E31" s="12"/>
      <c r="F31" s="13"/>
      <c r="G31" s="12"/>
      <c r="H31" s="20"/>
      <c r="I31" s="12"/>
      <c r="J31" s="11"/>
      <c r="K31" s="17"/>
      <c r="L31" s="14"/>
      <c r="M31" s="14"/>
      <c r="N31" s="26"/>
      <c r="O31" s="27"/>
      <c r="P31" s="28"/>
    </row>
    <row r="32" spans="1:17" ht="52.5" customHeight="1" x14ac:dyDescent="0.25">
      <c r="B32" s="138" t="s">
        <v>419</v>
      </c>
      <c r="C32" s="362"/>
      <c r="D32" s="362"/>
      <c r="E32" s="362"/>
      <c r="F32" s="362"/>
      <c r="G32" s="362"/>
      <c r="H32" s="362"/>
      <c r="I32" s="362"/>
      <c r="J32" s="362"/>
      <c r="K32" s="29"/>
      <c r="L32" s="14"/>
      <c r="M32" s="14"/>
      <c r="N32" s="26"/>
      <c r="O32" s="27"/>
      <c r="P32" s="28"/>
    </row>
    <row r="33" spans="1:16" ht="12.75" customHeight="1" x14ac:dyDescent="0.25">
      <c r="A33" s="1"/>
      <c r="B33" s="519" t="s">
        <v>434</v>
      </c>
      <c r="C33" s="519"/>
      <c r="D33" s="519"/>
      <c r="E33" s="519"/>
      <c r="F33" s="519"/>
      <c r="G33" s="519"/>
      <c r="H33" s="519"/>
      <c r="I33" s="519"/>
      <c r="J33" s="362"/>
      <c r="K33" s="29"/>
      <c r="L33" s="55"/>
      <c r="M33" s="55"/>
      <c r="N33" s="3"/>
      <c r="O33" s="29"/>
      <c r="P33" s="56"/>
    </row>
    <row r="34" spans="1:16" ht="12.75" customHeight="1" x14ac:dyDescent="0.25">
      <c r="A34" s="1"/>
      <c r="B34" s="91"/>
      <c r="C34" s="91"/>
      <c r="D34" s="91"/>
      <c r="E34" s="91"/>
      <c r="F34" s="91"/>
      <c r="G34" s="91"/>
      <c r="H34" s="91"/>
      <c r="I34" s="91"/>
      <c r="J34" s="362"/>
      <c r="K34" s="29"/>
      <c r="L34" s="55"/>
      <c r="M34" s="55"/>
      <c r="N34" s="3"/>
      <c r="O34" s="29"/>
      <c r="P34" s="56"/>
    </row>
    <row r="35" spans="1:16" ht="21.75" customHeight="1" x14ac:dyDescent="0.25">
      <c r="A35" s="1"/>
      <c r="B35" s="362"/>
      <c r="C35" s="522" t="s">
        <v>416</v>
      </c>
      <c r="D35" s="523"/>
      <c r="E35" s="523"/>
      <c r="F35" s="524"/>
      <c r="G35" s="94" t="s">
        <v>417</v>
      </c>
      <c r="H35" s="362"/>
      <c r="I35" s="362"/>
      <c r="J35" s="362"/>
      <c r="K35" s="29"/>
      <c r="L35" s="55"/>
      <c r="M35" s="55"/>
      <c r="N35" s="3"/>
      <c r="O35" s="29"/>
      <c r="P35" s="56"/>
    </row>
    <row r="36" spans="1:16" ht="69" customHeight="1" x14ac:dyDescent="0.25">
      <c r="A36" s="1"/>
      <c r="B36" s="111" t="s">
        <v>415</v>
      </c>
      <c r="C36" s="93" t="s">
        <v>562</v>
      </c>
      <c r="D36" s="93" t="s">
        <v>25</v>
      </c>
      <c r="E36" s="93" t="s">
        <v>9</v>
      </c>
      <c r="F36" s="93" t="s">
        <v>229</v>
      </c>
      <c r="G36" s="92" t="s">
        <v>26</v>
      </c>
      <c r="H36" s="87"/>
      <c r="I36" s="87"/>
      <c r="J36" s="87"/>
      <c r="K36" s="87"/>
      <c r="L36" s="55"/>
      <c r="M36" s="55"/>
      <c r="N36" s="3"/>
      <c r="O36" s="29"/>
      <c r="P36" s="56"/>
    </row>
    <row r="37" spans="1:16" ht="42.75" customHeight="1" x14ac:dyDescent="0.25">
      <c r="B37" s="108" t="str">
        <f>IFERROR(IF(C37="No Hay",VLOOKUP(SUM(C38:G38),LISTAS!$O$3:$P$15,2,FALSE),VLOOKUP(SUM(C38:G38),LISTAS!$L$3:$M$18,2,FALSE)),"")</f>
        <v>MEDIO</v>
      </c>
      <c r="C37" s="96" t="s">
        <v>425</v>
      </c>
      <c r="D37" s="96" t="s">
        <v>228</v>
      </c>
      <c r="E37" s="95" t="s">
        <v>10</v>
      </c>
      <c r="F37" s="95" t="s">
        <v>12</v>
      </c>
      <c r="G37" s="95" t="s">
        <v>14</v>
      </c>
      <c r="H37" s="87"/>
      <c r="I37" s="87"/>
      <c r="J37" s="87"/>
      <c r="K37" s="87"/>
      <c r="L37" s="14"/>
      <c r="M37" s="14"/>
      <c r="N37" s="4"/>
      <c r="O37" s="3"/>
      <c r="P37" s="3"/>
    </row>
    <row r="38" spans="1:16" ht="12.75" customHeight="1" x14ac:dyDescent="0.25">
      <c r="B38" s="97" t="str">
        <f>_xlfn.IFNA(CONCATENATE("TOTAL :  ",SUM(C38:G38)),"")</f>
        <v>TOTAL :  8</v>
      </c>
      <c r="C38" s="99" t="str">
        <f>_xlfn.IFNA(VLOOKUP(C37,$B$26:$C$30,2,),"")</f>
        <v/>
      </c>
      <c r="D38" s="99">
        <f>_xlfn.IFNA(VLOOKUP(D37,$F$26:$G$29,2,),"")</f>
        <v>3</v>
      </c>
      <c r="E38" s="99">
        <f>_xlfn.IFNA(VLOOKUP(E37,$H$26:$I$27,2,),"")</f>
        <v>1</v>
      </c>
      <c r="F38" s="99">
        <f>_xlfn.IFNA(VLOOKUP(F37,$D$26:$E$29,2,),"")</f>
        <v>2</v>
      </c>
      <c r="G38" s="99">
        <f>_xlfn.IFNA(VLOOKUP(G37,$J$26:$K$29,2,),"")</f>
        <v>2</v>
      </c>
      <c r="H38" s="362"/>
      <c r="I38" s="362"/>
      <c r="J38" s="362"/>
      <c r="K38" s="362"/>
      <c r="L38" s="14"/>
      <c r="M38" s="14"/>
      <c r="N38" s="4"/>
      <c r="O38" s="3"/>
      <c r="P38" s="3"/>
    </row>
    <row r="39" spans="1:16" ht="63.75" customHeight="1" x14ac:dyDescent="0.25">
      <c r="B39" s="112" t="s">
        <v>418</v>
      </c>
      <c r="C39" s="93" t="s">
        <v>563</v>
      </c>
      <c r="D39" s="93" t="s">
        <v>25</v>
      </c>
      <c r="E39" s="93" t="s">
        <v>9</v>
      </c>
      <c r="F39" s="93" t="s">
        <v>229</v>
      </c>
      <c r="G39" s="92" t="s">
        <v>26</v>
      </c>
      <c r="H39" s="25"/>
      <c r="I39" s="25"/>
      <c r="J39" s="25"/>
      <c r="K39" s="31"/>
      <c r="L39" s="25"/>
      <c r="M39" s="25"/>
      <c r="N39" s="34"/>
      <c r="O39" s="25"/>
      <c r="P39" s="33"/>
    </row>
    <row r="40" spans="1:16" ht="41.25" customHeight="1" x14ac:dyDescent="0.25">
      <c r="B40" s="108" t="str">
        <f>IFERROR(IF(C40="No Hay",VLOOKUP(SUM(C41:G41),LISTAS!$O$3:$P$15,2,FALSE),VLOOKUP(SUM(C41:G41),LISTAS!$L$3:$M$18,2,FALSE)),"")</f>
        <v>MEDIO</v>
      </c>
      <c r="C40" s="95" t="s">
        <v>425</v>
      </c>
      <c r="D40" s="96" t="s">
        <v>228</v>
      </c>
      <c r="E40" s="95" t="s">
        <v>10</v>
      </c>
      <c r="F40" s="95" t="s">
        <v>12</v>
      </c>
      <c r="G40" s="95" t="s">
        <v>14</v>
      </c>
      <c r="I40" s="25"/>
      <c r="J40" s="25"/>
      <c r="K40" s="31"/>
      <c r="L40" s="25"/>
      <c r="M40" s="25"/>
      <c r="N40" s="34"/>
      <c r="O40" s="25"/>
      <c r="P40" s="33"/>
    </row>
    <row r="41" spans="1:16" ht="12.75" customHeight="1" x14ac:dyDescent="0.25">
      <c r="B41" s="97" t="str">
        <f>_xlfn.IFNA(CONCATENATE("TOTAL :  ",SUM(C41:G41)),"")</f>
        <v>TOTAL :  8</v>
      </c>
      <c r="C41" s="99" t="str">
        <f>_xlfn.IFNA(VLOOKUP(C40,$B$26:$C$30,2,),"")</f>
        <v/>
      </c>
      <c r="D41" s="99">
        <f>_xlfn.IFNA(VLOOKUP(D40,$F$26:$G$29,2,),"")</f>
        <v>3</v>
      </c>
      <c r="E41" s="99">
        <f>_xlfn.IFNA(VLOOKUP(E40,$H$26:$I$27,2,),"")</f>
        <v>1</v>
      </c>
      <c r="F41" s="99">
        <f>_xlfn.IFNA(VLOOKUP(F40,$D$26:$E$29,2,),"")</f>
        <v>2</v>
      </c>
      <c r="G41" s="99">
        <f>_xlfn.IFNA(VLOOKUP(G40,$J$26:$K$29,2,),"")</f>
        <v>2</v>
      </c>
      <c r="H41" s="25"/>
      <c r="I41" s="25"/>
      <c r="J41" s="25"/>
      <c r="K41" s="31"/>
      <c r="L41" s="25"/>
      <c r="M41" s="25"/>
      <c r="N41" s="34"/>
      <c r="O41" s="25"/>
      <c r="P41" s="33"/>
    </row>
    <row r="42" spans="1:16" ht="12.75" customHeight="1" x14ac:dyDescent="0.25">
      <c r="E42" s="25"/>
      <c r="F42" s="25"/>
      <c r="G42" s="25"/>
      <c r="H42" s="25"/>
      <c r="I42" s="25"/>
      <c r="J42" s="25"/>
      <c r="K42" s="31"/>
      <c r="L42" s="25"/>
      <c r="M42" s="25"/>
      <c r="N42" s="34"/>
      <c r="O42" s="25"/>
      <c r="P42" s="33"/>
    </row>
    <row r="43" spans="1:16" ht="12.75" customHeight="1" x14ac:dyDescent="0.25">
      <c r="E43" s="25"/>
      <c r="F43" s="25"/>
      <c r="G43" s="25"/>
      <c r="H43" s="25"/>
      <c r="I43" s="25"/>
      <c r="J43" s="25"/>
      <c r="K43" s="31"/>
      <c r="L43" s="25"/>
      <c r="M43" s="25"/>
      <c r="N43" s="34"/>
      <c r="O43" s="25"/>
      <c r="P43" s="33"/>
    </row>
    <row r="44" spans="1:16" ht="12.75" customHeight="1" x14ac:dyDescent="0.25">
      <c r="B44" s="537" t="s">
        <v>564</v>
      </c>
      <c r="C44" s="537"/>
      <c r="D44" s="537"/>
      <c r="E44" s="537"/>
      <c r="F44" s="537"/>
      <c r="G44" s="537"/>
      <c r="H44" s="537"/>
      <c r="I44" s="537"/>
      <c r="J44" s="537"/>
      <c r="K44" s="537"/>
      <c r="L44" s="25"/>
      <c r="M44" s="25"/>
      <c r="N44" s="34"/>
      <c r="O44" s="25"/>
      <c r="P44" s="33"/>
    </row>
    <row r="45" spans="1:16" ht="42.75" customHeight="1" x14ac:dyDescent="0.25">
      <c r="B45" s="537"/>
      <c r="C45" s="537"/>
      <c r="D45" s="537"/>
      <c r="E45" s="537"/>
      <c r="F45" s="537"/>
      <c r="G45" s="537"/>
      <c r="H45" s="537"/>
      <c r="I45" s="537"/>
      <c r="J45" s="537"/>
      <c r="K45" s="537"/>
      <c r="L45" s="25"/>
      <c r="M45" s="25"/>
      <c r="N45" s="34"/>
      <c r="O45" s="25"/>
      <c r="P45" s="33"/>
    </row>
    <row r="46" spans="1:16" ht="41.25" customHeight="1" x14ac:dyDescent="0.25">
      <c r="B46" s="537"/>
      <c r="C46" s="537"/>
      <c r="D46" s="537"/>
      <c r="E46" s="537"/>
      <c r="F46" s="537"/>
      <c r="G46" s="537"/>
      <c r="H46" s="537"/>
      <c r="I46" s="537"/>
      <c r="J46" s="537"/>
      <c r="K46" s="537"/>
      <c r="L46" s="25"/>
      <c r="M46" s="25"/>
      <c r="N46" s="34"/>
      <c r="O46" s="25"/>
      <c r="P46" s="33"/>
    </row>
    <row r="47" spans="1:16" ht="25.5" customHeight="1" x14ac:dyDescent="0.25">
      <c r="B47" s="537"/>
      <c r="C47" s="537"/>
      <c r="D47" s="537"/>
      <c r="E47" s="537"/>
      <c r="F47" s="537"/>
      <c r="G47" s="537"/>
      <c r="H47" s="537"/>
      <c r="I47" s="537"/>
      <c r="J47" s="537"/>
      <c r="K47" s="537"/>
      <c r="L47" s="25"/>
      <c r="M47" s="25"/>
      <c r="N47" s="34"/>
      <c r="O47" s="25"/>
      <c r="P47" s="33"/>
    </row>
    <row r="48" spans="1:16" ht="16.5" customHeight="1" x14ac:dyDescent="0.25">
      <c r="B48" s="387"/>
      <c r="C48" s="387"/>
      <c r="D48" s="387"/>
      <c r="E48" s="387"/>
      <c r="F48" s="387"/>
      <c r="G48" s="387"/>
      <c r="H48" s="387"/>
      <c r="I48" s="387"/>
      <c r="J48" s="387"/>
      <c r="K48" s="387"/>
      <c r="L48" s="25"/>
      <c r="M48" s="25"/>
      <c r="N48" s="34"/>
      <c r="O48" s="25"/>
      <c r="P48" s="33"/>
    </row>
    <row r="49" spans="2:16" ht="16.5" customHeight="1" x14ac:dyDescent="0.25">
      <c r="B49" s="519" t="s">
        <v>435</v>
      </c>
      <c r="C49" s="519"/>
      <c r="D49" s="519"/>
      <c r="E49" s="519"/>
      <c r="F49" s="519"/>
      <c r="G49" s="519"/>
      <c r="H49" s="519"/>
      <c r="I49" s="519"/>
      <c r="J49" s="387"/>
      <c r="K49" s="387"/>
      <c r="L49" s="25"/>
      <c r="M49" s="25"/>
      <c r="N49" s="34"/>
      <c r="O49" s="25"/>
      <c r="P49" s="33"/>
    </row>
    <row r="50" spans="2:16" ht="12.75" customHeight="1" x14ac:dyDescent="0.25">
      <c r="G50" s="25"/>
      <c r="H50" s="35"/>
      <c r="I50" s="25"/>
      <c r="J50" s="25"/>
      <c r="K50" s="31"/>
      <c r="L50" s="36"/>
      <c r="M50" s="36"/>
      <c r="N50" s="9"/>
      <c r="O50" s="9"/>
      <c r="P50" s="9"/>
    </row>
    <row r="51" spans="2:16" ht="19.5" customHeight="1" x14ac:dyDescent="0.25">
      <c r="B51" s="30" t="s">
        <v>21</v>
      </c>
      <c r="C51" s="30" t="s">
        <v>436</v>
      </c>
      <c r="D51" s="525" t="s">
        <v>22</v>
      </c>
      <c r="E51" s="525"/>
      <c r="F51" s="525"/>
      <c r="G51" s="25"/>
      <c r="H51" s="35"/>
      <c r="I51" s="25"/>
      <c r="J51" s="25"/>
      <c r="K51" s="31"/>
      <c r="L51" s="36"/>
      <c r="M51" s="36"/>
      <c r="N51" s="9"/>
      <c r="O51" s="9"/>
      <c r="P51" s="9"/>
    </row>
    <row r="52" spans="2:16" ht="20.25" customHeight="1" x14ac:dyDescent="0.25">
      <c r="B52" s="20" t="s">
        <v>73</v>
      </c>
      <c r="C52" s="98" t="s">
        <v>565</v>
      </c>
      <c r="D52" s="526" t="s">
        <v>566</v>
      </c>
      <c r="E52" s="526"/>
      <c r="F52" s="526"/>
      <c r="G52" s="25"/>
      <c r="H52" s="35"/>
      <c r="I52" s="25"/>
      <c r="J52" s="25"/>
      <c r="K52" s="31"/>
      <c r="L52" s="36"/>
      <c r="M52" s="36"/>
      <c r="N52" s="9"/>
      <c r="O52" s="9"/>
      <c r="P52" s="9"/>
    </row>
    <row r="53" spans="2:16" ht="23.25" customHeight="1" x14ac:dyDescent="0.25">
      <c r="B53" s="20" t="s">
        <v>437</v>
      </c>
      <c r="C53" s="98" t="s">
        <v>565</v>
      </c>
      <c r="D53" s="526"/>
      <c r="E53" s="526"/>
      <c r="F53" s="526"/>
      <c r="G53" s="25"/>
      <c r="H53" s="35"/>
      <c r="I53" s="25"/>
      <c r="J53" s="25"/>
      <c r="K53" s="31"/>
      <c r="L53" s="36"/>
      <c r="M53" s="36"/>
      <c r="N53" s="9"/>
      <c r="O53" s="9"/>
      <c r="P53" s="9"/>
    </row>
    <row r="54" spans="2:16" ht="29.25" customHeight="1" x14ac:dyDescent="0.25">
      <c r="B54" s="32" t="s">
        <v>438</v>
      </c>
      <c r="C54" s="98" t="s">
        <v>565</v>
      </c>
      <c r="D54" s="526"/>
      <c r="E54" s="526"/>
      <c r="F54" s="526"/>
      <c r="G54" s="25"/>
      <c r="H54" s="35"/>
      <c r="I54" s="25"/>
      <c r="J54" s="25"/>
      <c r="K54" s="31"/>
      <c r="L54" s="36"/>
      <c r="M54" s="36"/>
      <c r="N54" s="9"/>
      <c r="O54" s="9"/>
      <c r="P54" s="9"/>
    </row>
    <row r="55" spans="2:16" ht="12.75" customHeight="1" x14ac:dyDescent="0.25">
      <c r="B55" s="1" t="s">
        <v>419</v>
      </c>
      <c r="G55" s="25"/>
      <c r="H55" s="35"/>
      <c r="I55" s="25"/>
      <c r="J55" s="25"/>
      <c r="K55" s="31"/>
      <c r="L55" s="36"/>
      <c r="M55" s="36"/>
      <c r="N55" s="9"/>
      <c r="O55" s="9"/>
      <c r="P55" s="9"/>
    </row>
    <row r="56" spans="2:16" ht="12.75" customHeight="1" x14ac:dyDescent="0.25">
      <c r="B56" s="527" t="s">
        <v>798</v>
      </c>
      <c r="C56" s="527"/>
      <c r="D56" s="527"/>
      <c r="E56" s="527"/>
      <c r="F56" s="527"/>
      <c r="G56" s="113"/>
      <c r="H56" s="113"/>
      <c r="I56" s="113"/>
      <c r="J56" s="25"/>
      <c r="K56" s="31"/>
      <c r="L56" s="36"/>
      <c r="M56" s="36"/>
      <c r="N56" s="9"/>
      <c r="O56" s="9"/>
      <c r="P56" s="9"/>
    </row>
    <row r="57" spans="2:16" ht="12.75" customHeight="1" x14ac:dyDescent="0.25">
      <c r="B57" s="527"/>
      <c r="C57" s="527"/>
      <c r="D57" s="527"/>
      <c r="E57" s="527"/>
      <c r="F57" s="527"/>
      <c r="G57" s="113"/>
      <c r="H57" s="113"/>
      <c r="I57" s="113"/>
      <c r="J57" s="25"/>
      <c r="K57" s="31"/>
      <c r="L57" s="36"/>
      <c r="M57" s="36"/>
      <c r="N57" s="9"/>
      <c r="O57" s="9"/>
      <c r="P57" s="9"/>
    </row>
    <row r="58" spans="2:16" ht="12.75" customHeight="1" x14ac:dyDescent="0.25">
      <c r="B58" s="527"/>
      <c r="C58" s="527"/>
      <c r="D58" s="527"/>
      <c r="E58" s="527"/>
      <c r="F58" s="527"/>
      <c r="G58" s="113"/>
      <c r="H58" s="113"/>
      <c r="I58" s="113"/>
      <c r="J58" s="25"/>
      <c r="K58" s="31"/>
      <c r="L58" s="36"/>
      <c r="M58" s="36"/>
      <c r="N58" s="9"/>
      <c r="O58" s="9"/>
      <c r="P58" s="9"/>
    </row>
    <row r="59" spans="2:16" ht="12.75" customHeight="1" x14ac:dyDescent="0.25">
      <c r="B59" s="527"/>
      <c r="C59" s="527"/>
      <c r="D59" s="527"/>
      <c r="E59" s="527"/>
      <c r="F59" s="527"/>
      <c r="G59" s="25"/>
      <c r="H59" s="35"/>
      <c r="I59" s="25"/>
      <c r="J59" s="25"/>
      <c r="K59" s="31"/>
      <c r="L59" s="36"/>
      <c r="M59" s="36"/>
      <c r="N59" s="9"/>
      <c r="O59" s="9"/>
      <c r="P59" s="9"/>
    </row>
    <row r="60" spans="2:16" ht="23.25" customHeight="1" x14ac:dyDescent="0.25">
      <c r="B60" s="519" t="s">
        <v>439</v>
      </c>
      <c r="C60" s="519"/>
      <c r="D60" s="519"/>
      <c r="E60" s="519"/>
      <c r="F60" s="519"/>
      <c r="G60" s="519"/>
      <c r="H60" s="519"/>
      <c r="I60" s="519"/>
      <c r="J60" s="25"/>
      <c r="K60" s="31"/>
      <c r="L60" s="36"/>
      <c r="M60" s="36"/>
      <c r="N60" s="9"/>
      <c r="O60" s="9"/>
      <c r="P60" s="9"/>
    </row>
    <row r="61" spans="2:16" ht="12.75" customHeight="1" x14ac:dyDescent="0.25">
      <c r="G61" s="25"/>
      <c r="H61" s="35"/>
      <c r="I61" s="25"/>
      <c r="J61" s="25"/>
      <c r="K61" s="31"/>
      <c r="L61" s="36"/>
      <c r="M61" s="36"/>
      <c r="N61" s="9"/>
      <c r="O61" s="9"/>
      <c r="P61" s="9"/>
    </row>
    <row r="62" spans="2:16" ht="50.25" customHeight="1" x14ac:dyDescent="0.25">
      <c r="B62" s="114" t="s">
        <v>31</v>
      </c>
      <c r="C62" s="115" t="s">
        <v>32</v>
      </c>
      <c r="D62" s="363" t="s">
        <v>33</v>
      </c>
      <c r="E62" s="363" t="s">
        <v>33</v>
      </c>
      <c r="F62" s="520" t="s">
        <v>34</v>
      </c>
      <c r="G62" s="520"/>
      <c r="H62" s="25"/>
      <c r="I62" s="25"/>
      <c r="J62" s="25"/>
      <c r="K62" s="31"/>
      <c r="L62" s="36"/>
      <c r="M62" s="36"/>
      <c r="N62" s="9"/>
      <c r="O62" s="9"/>
      <c r="P62" s="9"/>
    </row>
    <row r="63" spans="2:16" ht="95.25" customHeight="1" x14ac:dyDescent="0.25">
      <c r="B63" s="38" t="s">
        <v>430</v>
      </c>
      <c r="C63" s="116" t="s">
        <v>35</v>
      </c>
      <c r="D63" s="121" t="s">
        <v>567</v>
      </c>
      <c r="E63" s="225">
        <v>0.03</v>
      </c>
      <c r="F63" s="530" t="s">
        <v>570</v>
      </c>
      <c r="G63" s="530"/>
      <c r="H63" s="25"/>
      <c r="I63" s="25"/>
      <c r="J63" s="25"/>
      <c r="K63" s="31"/>
      <c r="L63" s="36"/>
      <c r="M63" s="36"/>
      <c r="N63" s="9"/>
      <c r="O63" s="9"/>
      <c r="P63" s="9"/>
    </row>
    <row r="64" spans="2:16" ht="98.25" customHeight="1" x14ac:dyDescent="0.25">
      <c r="B64" s="38" t="s">
        <v>431</v>
      </c>
      <c r="C64" s="116" t="s">
        <v>36</v>
      </c>
      <c r="D64" s="122" t="s">
        <v>568</v>
      </c>
      <c r="E64" s="225">
        <v>2.3E-2</v>
      </c>
      <c r="F64" s="530" t="s">
        <v>570</v>
      </c>
      <c r="G64" s="530"/>
      <c r="H64" s="118"/>
      <c r="I64" s="25"/>
      <c r="J64" s="25"/>
      <c r="K64" s="31"/>
      <c r="L64" s="36"/>
      <c r="M64" s="36"/>
      <c r="N64" s="9"/>
      <c r="O64" s="9"/>
      <c r="P64" s="9"/>
    </row>
    <row r="65" spans="2:16" ht="99.75" customHeight="1" x14ac:dyDescent="0.25">
      <c r="B65" s="38" t="s">
        <v>432</v>
      </c>
      <c r="C65" s="116" t="s">
        <v>37</v>
      </c>
      <c r="D65" s="123" t="s">
        <v>569</v>
      </c>
      <c r="E65" s="225">
        <v>1.7000000000000001E-2</v>
      </c>
      <c r="F65" s="530" t="s">
        <v>570</v>
      </c>
      <c r="G65" s="530"/>
      <c r="H65" s="29"/>
      <c r="I65" s="25"/>
      <c r="J65" s="25"/>
      <c r="K65" s="31"/>
      <c r="L65" s="36"/>
      <c r="M65" s="36"/>
      <c r="N65" s="9"/>
      <c r="O65" s="9"/>
      <c r="P65" s="9"/>
    </row>
    <row r="66" spans="2:16" ht="12.75" customHeight="1" x14ac:dyDescent="0.25">
      <c r="B66" s="117" t="s">
        <v>419</v>
      </c>
      <c r="C66" s="15"/>
      <c r="D66" s="364"/>
      <c r="E66" s="364"/>
      <c r="F66" s="364"/>
      <c r="G66" s="29"/>
      <c r="H66" s="119"/>
      <c r="I66" s="25"/>
      <c r="J66" s="25"/>
      <c r="K66" s="31"/>
      <c r="L66" s="36"/>
      <c r="M66" s="36"/>
      <c r="N66" s="9"/>
      <c r="O66" s="9"/>
      <c r="P66" s="9"/>
    </row>
    <row r="67" spans="2:16" ht="12.75" customHeight="1" x14ac:dyDescent="0.25">
      <c r="G67" s="25"/>
      <c r="H67" s="35"/>
      <c r="I67" s="25"/>
      <c r="J67" s="25"/>
      <c r="K67" s="31"/>
      <c r="L67" s="36"/>
      <c r="M67" s="36"/>
      <c r="N67" s="9"/>
      <c r="O67" s="9"/>
      <c r="P67" s="9"/>
    </row>
    <row r="68" spans="2:16" ht="85.5" customHeight="1" x14ac:dyDescent="0.25">
      <c r="B68" s="528" t="s">
        <v>440</v>
      </c>
      <c r="C68" s="528"/>
      <c r="D68" s="528"/>
      <c r="E68" s="528"/>
      <c r="F68" s="528"/>
      <c r="G68" s="528"/>
      <c r="H68" s="35"/>
      <c r="I68" s="25"/>
      <c r="J68" s="25"/>
      <c r="K68" s="31"/>
      <c r="L68" s="36"/>
      <c r="M68" s="36"/>
      <c r="N68" s="9"/>
      <c r="O68" s="9"/>
      <c r="P68" s="9"/>
    </row>
    <row r="69" spans="2:16" ht="12.75" customHeight="1" x14ac:dyDescent="0.25">
      <c r="G69" s="25"/>
      <c r="H69" s="35"/>
      <c r="I69" s="25"/>
      <c r="J69" s="25"/>
      <c r="K69" s="31"/>
      <c r="L69" s="36"/>
      <c r="M69" s="36"/>
      <c r="N69" s="9"/>
      <c r="O69" s="9"/>
      <c r="P69" s="9"/>
    </row>
    <row r="70" spans="2:16" ht="12.75" customHeight="1" x14ac:dyDescent="0.25">
      <c r="G70" s="25"/>
      <c r="H70" s="35"/>
      <c r="I70" s="25"/>
      <c r="J70" s="25"/>
      <c r="K70" s="31"/>
      <c r="L70" s="36"/>
      <c r="M70" s="36"/>
      <c r="N70" s="9"/>
      <c r="O70" s="9"/>
      <c r="P70" s="9"/>
    </row>
    <row r="71" spans="2:16" ht="21.75" customHeight="1" x14ac:dyDescent="0.25">
      <c r="B71" s="519" t="s">
        <v>441</v>
      </c>
      <c r="C71" s="519"/>
      <c r="D71" s="519"/>
      <c r="E71" s="519"/>
      <c r="F71" s="519"/>
      <c r="G71" s="519"/>
      <c r="H71" s="35"/>
      <c r="I71" s="25"/>
      <c r="J71" s="25"/>
      <c r="K71" s="31"/>
      <c r="L71" s="36"/>
      <c r="M71" s="36"/>
      <c r="N71" s="9"/>
      <c r="O71" s="9"/>
      <c r="P71" s="9"/>
    </row>
    <row r="72" spans="2:16" ht="12.75" customHeight="1" x14ac:dyDescent="0.25">
      <c r="G72" s="25"/>
      <c r="H72" s="35"/>
      <c r="I72" s="25"/>
      <c r="J72" s="25"/>
      <c r="K72" s="31"/>
      <c r="L72" s="36"/>
      <c r="M72" s="36"/>
      <c r="N72" s="9"/>
      <c r="O72" s="9"/>
      <c r="P72" s="9"/>
    </row>
    <row r="73" spans="2:16" ht="12.75" customHeight="1" x14ac:dyDescent="0.25">
      <c r="B73" s="529" t="s">
        <v>442</v>
      </c>
      <c r="C73" s="529"/>
      <c r="D73" s="529"/>
      <c r="E73" s="529"/>
      <c r="F73" s="529"/>
      <c r="G73" s="529"/>
      <c r="H73" s="35"/>
      <c r="I73" s="25"/>
      <c r="J73" s="25"/>
      <c r="K73" s="31"/>
      <c r="L73" s="36"/>
      <c r="M73" s="36"/>
      <c r="N73" s="9"/>
      <c r="O73" s="9"/>
      <c r="P73" s="9"/>
    </row>
    <row r="74" spans="2:16" ht="12.75" customHeight="1" thickBot="1" x14ac:dyDescent="0.3">
      <c r="B74" s="365"/>
      <c r="C74" s="365"/>
      <c r="D74" s="365"/>
      <c r="E74" s="365"/>
      <c r="F74" s="365"/>
      <c r="G74" s="365"/>
      <c r="H74" s="35"/>
      <c r="I74" s="25"/>
      <c r="J74" s="25"/>
      <c r="K74" s="31"/>
      <c r="L74" s="36"/>
      <c r="M74" s="36"/>
      <c r="N74" s="9"/>
      <c r="O74" s="9"/>
      <c r="P74" s="9"/>
    </row>
    <row r="75" spans="2:16" ht="33" customHeight="1" thickBot="1" x14ac:dyDescent="0.3">
      <c r="B75" s="538" t="s">
        <v>413</v>
      </c>
      <c r="C75" s="539"/>
      <c r="D75" s="539"/>
      <c r="E75" s="535" t="s">
        <v>414</v>
      </c>
      <c r="F75" s="536"/>
      <c r="G75" s="25"/>
      <c r="H75" s="35"/>
      <c r="I75" s="25"/>
      <c r="J75" s="25"/>
      <c r="K75" s="31"/>
      <c r="L75" s="36"/>
      <c r="M75" s="36"/>
      <c r="N75" s="9"/>
      <c r="O75" s="9"/>
      <c r="P75" s="9"/>
    </row>
    <row r="76" spans="2:16" ht="45" customHeight="1" thickBot="1" x14ac:dyDescent="0.3">
      <c r="B76" s="493" t="s">
        <v>428</v>
      </c>
      <c r="C76" s="494"/>
      <c r="D76" s="495"/>
      <c r="E76" s="496">
        <f>IF(B76="","",IF(B76="UNIVERSO DE INGRESOS: Constituido por el total del presupuesto RECAUDADO, por todos los conceptos, obtenidos en la vigencia a auditar",'ANALITICA PRESUPUESTO'!$N$18,IF(B76="UNIVERSO DE GASTOS: Conformado por el total del presupuesto COMPROMETIDO, por todos los conceptos, en la vigencia a auditar",'ANALITICA PRESUPUESTO'!$N$49,SUM('ANALITICA PRESUPUESTO'!N88,'ANALITICA PRESUPUESTO'!N91:N96))))</f>
        <v>12000000000</v>
      </c>
      <c r="F76" s="497"/>
      <c r="G76" s="25"/>
      <c r="H76" s="35"/>
      <c r="I76" s="25"/>
      <c r="J76" s="25"/>
      <c r="K76" s="31"/>
      <c r="L76" s="36"/>
      <c r="M76" s="36"/>
      <c r="N76" s="9"/>
      <c r="O76" s="9"/>
      <c r="P76" s="9"/>
    </row>
    <row r="77" spans="2:16" ht="47.25" customHeight="1" thickBot="1" x14ac:dyDescent="0.3">
      <c r="B77" s="493" t="s">
        <v>571</v>
      </c>
      <c r="C77" s="494"/>
      <c r="D77" s="495"/>
      <c r="E77" s="496">
        <f>IF(B77="","",IF(B77="UNIVERSO DE INGRESOS: Constituido por el total del presupuesto RECAUDADO, por todos los conceptos, obtenidos en la vigencia a auditar",'ANALITICA PRESUPUESTO'!$N$18,IF(B77="UNIVERSO DE GASTOS: Conformado por el total del presupuesto COMPROMETIDO, por todos los conceptos, en la vigencia a auditar",'ANALITICA PRESUPUESTO'!$N$49,SUM('ANALITICA PRESUPUESTO'!N89,'ANALITICA PRESUPUESTO'!N92:N97))))</f>
        <v>133000000000</v>
      </c>
      <c r="F77" s="497"/>
      <c r="G77" s="25"/>
      <c r="H77" s="35"/>
      <c r="I77" s="25"/>
      <c r="J77" s="25"/>
      <c r="K77" s="31"/>
      <c r="L77" s="36"/>
      <c r="M77" s="36"/>
      <c r="N77" s="9"/>
      <c r="O77" s="9"/>
      <c r="P77" s="9"/>
    </row>
    <row r="78" spans="2:16" ht="48.75" customHeight="1" thickBot="1" x14ac:dyDescent="0.3">
      <c r="B78" s="493" t="s">
        <v>429</v>
      </c>
      <c r="C78" s="494"/>
      <c r="D78" s="495"/>
      <c r="E78" s="496">
        <f>IF(B78="","",IF(B78="UNIVERSO DE INGRESOS: Constituido por el total del presupuesto RECAUDADO, por todos los conceptos, obtenidos en la vigencia a auditar",'ANALITICA PRESUPUESTO'!$N$18,IF(B78="UNIVERSO DE GASTOS: Conformado por el total del presupuesto COMPROMETIDO, por todos los conceptos, en la vigencia a auditar",'ANALITICA PRESUPUESTO'!$N$49,SUM('ANALITICA PRESUPUESTO'!N90,'ANALITICA PRESUPUESTO'!N93:N98))))</f>
        <v>360012000</v>
      </c>
      <c r="F78" s="497"/>
      <c r="G78" s="25"/>
      <c r="H78" s="35"/>
      <c r="I78" s="25"/>
      <c r="J78" s="25"/>
      <c r="K78" s="31"/>
      <c r="L78" s="36"/>
      <c r="M78" s="36"/>
      <c r="N78" s="9"/>
      <c r="O78" s="9"/>
      <c r="P78" s="9"/>
    </row>
    <row r="79" spans="2:16" ht="12.75" customHeight="1" x14ac:dyDescent="0.25">
      <c r="G79" s="25"/>
      <c r="H79" s="35"/>
      <c r="I79" s="25"/>
      <c r="J79" s="25"/>
      <c r="K79" s="31"/>
      <c r="L79" s="36"/>
      <c r="M79" s="36"/>
      <c r="N79" s="9"/>
      <c r="O79" s="9"/>
      <c r="P79" s="9"/>
    </row>
    <row r="80" spans="2:16" ht="51.75" customHeight="1" x14ac:dyDescent="0.25">
      <c r="B80" s="513" t="s">
        <v>799</v>
      </c>
      <c r="C80" s="513"/>
      <c r="D80" s="513"/>
      <c r="E80" s="513"/>
      <c r="F80" s="513"/>
      <c r="G80" s="25"/>
      <c r="H80" s="35"/>
      <c r="I80" s="25"/>
      <c r="J80" s="25"/>
      <c r="K80" s="31"/>
      <c r="L80" s="36"/>
      <c r="M80" s="36"/>
      <c r="N80" s="9"/>
      <c r="O80" s="9"/>
      <c r="P80" s="9"/>
    </row>
    <row r="81" spans="2:16" ht="21" customHeight="1" x14ac:dyDescent="0.25">
      <c r="B81" s="514"/>
      <c r="C81" s="514"/>
      <c r="D81" s="514"/>
      <c r="E81" s="514"/>
      <c r="F81" s="514"/>
      <c r="G81" s="514"/>
      <c r="H81" s="14"/>
      <c r="I81" s="25"/>
      <c r="J81" s="25"/>
      <c r="K81" s="31"/>
      <c r="L81" s="25"/>
      <c r="M81" s="25"/>
      <c r="N81" s="14"/>
      <c r="O81" s="14"/>
      <c r="P81" s="14"/>
    </row>
    <row r="82" spans="2:16" ht="12.75" customHeight="1" x14ac:dyDescent="0.25">
      <c r="B82" s="492" t="s">
        <v>427</v>
      </c>
      <c r="C82" s="492"/>
      <c r="D82" s="492"/>
      <c r="E82" s="492"/>
      <c r="F82" s="492"/>
      <c r="G82" s="492"/>
      <c r="H82" s="14"/>
      <c r="I82" s="25"/>
      <c r="J82" s="25"/>
      <c r="K82" s="31"/>
      <c r="L82" s="25"/>
      <c r="M82" s="25"/>
      <c r="N82" s="14"/>
      <c r="O82" s="14"/>
      <c r="P82" s="14"/>
    </row>
    <row r="83" spans="2:16" ht="12.75" customHeight="1" thickBot="1" x14ac:dyDescent="0.3">
      <c r="B83" s="534"/>
      <c r="C83" s="534"/>
      <c r="D83" s="534"/>
      <c r="E83" s="534"/>
      <c r="F83" s="534"/>
      <c r="G83" s="492"/>
      <c r="H83" s="14"/>
      <c r="I83" s="25"/>
      <c r="J83" s="25"/>
      <c r="K83" s="31"/>
      <c r="L83" s="25"/>
      <c r="M83" s="25"/>
      <c r="N83" s="14"/>
      <c r="O83" s="14"/>
      <c r="P83" s="14"/>
    </row>
    <row r="84" spans="2:16" ht="65.25" customHeight="1" thickBot="1" x14ac:dyDescent="0.3">
      <c r="B84" s="231" t="s">
        <v>27</v>
      </c>
      <c r="C84" s="232" t="s">
        <v>572</v>
      </c>
      <c r="D84" s="233" t="s">
        <v>446</v>
      </c>
      <c r="E84" s="234" t="s">
        <v>28</v>
      </c>
      <c r="F84" s="232" t="s">
        <v>29</v>
      </c>
      <c r="G84" s="235" t="s">
        <v>30</v>
      </c>
      <c r="H84" s="235" t="s">
        <v>323</v>
      </c>
      <c r="I84" s="25"/>
      <c r="J84" s="25"/>
      <c r="K84" s="31"/>
      <c r="L84" s="25"/>
      <c r="M84" s="25"/>
      <c r="N84" s="14"/>
      <c r="O84" s="14"/>
      <c r="P84" s="14"/>
    </row>
    <row r="85" spans="2:16" ht="12.75" customHeight="1" x14ac:dyDescent="0.25">
      <c r="B85" s="506">
        <f>IF(OR($C$37="No Aplica",$G$37="No Aplica"),"No Aplica",IF(VLOOKUP('ANALITICA PRESUPUESTO'!$B$8,LISTAS!$F$3:$I$100,4)="X","Sin Recaudo",IF($B$76="UNIVERSO DE INGRESOS: Constituido por el total del presupuesto RECAUDADO, por todos los conceptos, obtenidos en la vigencia a auditar",SUM($C$38:$G$38),IF($B$77="UNIVERSO DE INGRESOS: Constituido por el total del presupuesto RECAUDADO, por todos los conceptos, obtenidos en la vigencia a auditar",SUM($C$38:$G$38),IF($B$78="UNIVERSO DE INGRESOS: Constituido por el total del presupuesto RECAUDADO, por todos los conceptos, obtenidos en la vigencia a auditar",SUM($C$38:$G$38),"No Aplica")))))</f>
        <v>8</v>
      </c>
      <c r="C85" s="509" t="str">
        <f>IF(OR($C$37="No Aplica",$G$37="No Aplica"),"No Aplica",IF(VLOOKUP('ANALITICA PRESUPUESTO'!$B$8,LISTAS!$F$3:$I$100,4)="X","Sin Recaudo",IF($C$37="No Hay",IF(AND($B$85&gt;=4,$B$85&lt;=7),$D$63,IF(AND($B$85&gt;=8,B85&lt;=11),$D$64,$D$65)),IF(AND($B$85&gt;=5,$B$85&lt;=9),$D$63,IF(AND($B$85&gt;=10,B85&lt;=14),$D$64,$D$65)))))</f>
        <v>&gt;1,7% y &lt;=2,3%</v>
      </c>
      <c r="D85" s="388" t="str">
        <f>+'ANALITICA PRESUPUESTO'!B18</f>
        <v>INGRESOS</v>
      </c>
      <c r="E85" s="389">
        <f>IF($B$85="Sin Recaudo","",'ANALITICA PRESUPUESTO'!N18)</f>
        <v>12000000000</v>
      </c>
      <c r="F85" s="236">
        <f>IF($B$85="Sin Recaudo","",VLOOKUP($C$85,$D$63:$E$65,2,FALSE))</f>
        <v>2.3E-2</v>
      </c>
      <c r="G85" s="228">
        <f>IF(OR($B$85="No Aplica",$C$85="No Aplica"),"No Aplica",IF($B$85="Sin Recaudo","",E85*$F$85))</f>
        <v>276000000</v>
      </c>
      <c r="H85" s="124" t="str">
        <f>IF('ANALITICA PRESUPUESTO'!R18="","",'ANALITICA PRESUPUESTO'!R18)</f>
        <v>SI</v>
      </c>
      <c r="I85" s="25"/>
      <c r="J85" s="25"/>
      <c r="K85" s="31"/>
      <c r="L85" s="25"/>
      <c r="M85" s="25"/>
      <c r="N85" s="14"/>
      <c r="O85" s="14"/>
      <c r="P85" s="14"/>
    </row>
    <row r="86" spans="2:16" ht="12.75" customHeight="1" x14ac:dyDescent="0.25">
      <c r="B86" s="507"/>
      <c r="C86" s="510"/>
      <c r="D86" s="390" t="str">
        <f>+'ANALITICA PRESUPUESTO'!B19</f>
        <v>DISPONIBILIDAD INICIAL</v>
      </c>
      <c r="E86" s="391">
        <f>IF($B$85="Sin Recaudo","",'ANALITICA PRESUPUESTO'!N19)</f>
        <v>200000</v>
      </c>
      <c r="F86" s="226">
        <f t="shared" ref="F86:F111" si="0">IF($B$85="Sin Recaudo","",VLOOKUP($C$85,$D$63:$E$65,2,FALSE))</f>
        <v>2.3E-2</v>
      </c>
      <c r="G86" s="229">
        <f t="shared" ref="G86:G111" si="1">IF(OR($B$85="No Aplica",$C$85="No Aplica"),"No Aplica",IF($B$85="Sin Recaudo","",E86*$F$85))</f>
        <v>4600</v>
      </c>
      <c r="H86" s="125" t="str">
        <f>IF('ANALITICA PRESUPUESTO'!R19="","",'ANALITICA PRESUPUESTO'!R19)</f>
        <v>NO</v>
      </c>
      <c r="I86" s="25"/>
      <c r="J86" s="25"/>
      <c r="K86" s="31"/>
      <c r="L86" s="25"/>
      <c r="M86" s="25"/>
      <c r="N86" s="14"/>
      <c r="O86" s="14"/>
      <c r="P86" s="14"/>
    </row>
    <row r="87" spans="2:16" ht="12.75" customHeight="1" x14ac:dyDescent="0.25">
      <c r="B87" s="507"/>
      <c r="C87" s="510"/>
      <c r="D87" s="392" t="str">
        <f>+'ANALITICA PRESUPUESTO'!B20</f>
        <v>Bancos</v>
      </c>
      <c r="E87" s="393">
        <f>IF($B$85="Sin Recaudo","",'ANALITICA PRESUPUESTO'!N20)</f>
        <v>5000000</v>
      </c>
      <c r="F87" s="227">
        <f t="shared" si="0"/>
        <v>2.3E-2</v>
      </c>
      <c r="G87" s="230">
        <f t="shared" si="1"/>
        <v>115000</v>
      </c>
      <c r="H87" s="259" t="str">
        <f>IF('ANALITICA PRESUPUESTO'!R20="","",'ANALITICA PRESUPUESTO'!R20)</f>
        <v>NO</v>
      </c>
      <c r="I87" s="25"/>
      <c r="J87" s="25"/>
      <c r="K87" s="31"/>
      <c r="L87" s="25"/>
      <c r="M87" s="25"/>
      <c r="N87" s="14"/>
      <c r="O87" s="14"/>
      <c r="P87" s="14"/>
    </row>
    <row r="88" spans="2:16" ht="12.75" customHeight="1" x14ac:dyDescent="0.25">
      <c r="B88" s="507"/>
      <c r="C88" s="510"/>
      <c r="D88" s="392" t="str">
        <f>+'ANALITICA PRESUPUESTO'!B21</f>
        <v>Inversiones Temporales</v>
      </c>
      <c r="E88" s="393">
        <f>IF($B$85="Sin Recaudo","",'ANALITICA PRESUPUESTO'!N21)</f>
        <v>120000</v>
      </c>
      <c r="F88" s="227">
        <f t="shared" si="0"/>
        <v>2.3E-2</v>
      </c>
      <c r="G88" s="230">
        <f t="shared" si="1"/>
        <v>2760</v>
      </c>
      <c r="H88" s="259" t="str">
        <f>IF('ANALITICA PRESUPUESTO'!R21="","",'ANALITICA PRESUPUESTO'!R21)</f>
        <v/>
      </c>
      <c r="I88" s="25"/>
      <c r="J88" s="25"/>
      <c r="K88" s="31"/>
      <c r="L88" s="25"/>
      <c r="M88" s="25"/>
      <c r="N88" s="14"/>
      <c r="O88" s="14"/>
      <c r="P88" s="14"/>
    </row>
    <row r="89" spans="2:16" ht="12.75" customHeight="1" x14ac:dyDescent="0.25">
      <c r="B89" s="507"/>
      <c r="C89" s="510"/>
      <c r="D89" s="390" t="str">
        <f>+'ANALITICA PRESUPUESTO'!B22</f>
        <v>INGRESOS CORRIENTES</v>
      </c>
      <c r="E89" s="391">
        <f>IF($B$85="Sin Recaudo","",'ANALITICA PRESUPUESTO'!N22)</f>
        <v>2000000</v>
      </c>
      <c r="F89" s="226">
        <f t="shared" si="0"/>
        <v>2.3E-2</v>
      </c>
      <c r="G89" s="229">
        <f t="shared" si="1"/>
        <v>46000</v>
      </c>
      <c r="H89" s="125" t="str">
        <f>IF('ANALITICA PRESUPUESTO'!R22="","",'ANALITICA PRESUPUESTO'!R22)</f>
        <v/>
      </c>
      <c r="I89" s="25"/>
      <c r="J89" s="25"/>
      <c r="K89" s="31"/>
      <c r="L89" s="25"/>
      <c r="M89" s="25"/>
      <c r="N89" s="14"/>
      <c r="O89" s="14"/>
      <c r="P89" s="14"/>
    </row>
    <row r="90" spans="2:16" ht="12.75" customHeight="1" x14ac:dyDescent="0.25">
      <c r="B90" s="507"/>
      <c r="C90" s="510"/>
      <c r="D90" s="392" t="str">
        <f>+'ANALITICA PRESUPUESTO'!B23</f>
        <v>Tributarios</v>
      </c>
      <c r="E90" s="393">
        <f>IF($B$85="Sin Recaudo","",'ANALITICA PRESUPUESTO'!N23)</f>
        <v>12000</v>
      </c>
      <c r="F90" s="227">
        <f t="shared" si="0"/>
        <v>2.3E-2</v>
      </c>
      <c r="G90" s="230">
        <f t="shared" si="1"/>
        <v>276</v>
      </c>
      <c r="H90" s="259" t="str">
        <f>IF('ANALITICA PRESUPUESTO'!R23="","",'ANALITICA PRESUPUESTO'!R23)</f>
        <v/>
      </c>
      <c r="I90" s="25"/>
      <c r="J90" s="25"/>
      <c r="K90" s="31"/>
      <c r="L90" s="25"/>
      <c r="M90" s="25"/>
      <c r="N90" s="14"/>
      <c r="O90" s="14"/>
      <c r="P90" s="14"/>
    </row>
    <row r="91" spans="2:16" ht="12.75" customHeight="1" x14ac:dyDescent="0.25">
      <c r="B91" s="507"/>
      <c r="C91" s="510"/>
      <c r="D91" s="392" t="str">
        <f>+'ANALITICA PRESUPUESTO'!B24</f>
        <v>No Tributarios</v>
      </c>
      <c r="E91" s="393">
        <f>IF($B$85="Sin Recaudo","",'ANALITICA PRESUPUESTO'!N24)</f>
        <v>12000</v>
      </c>
      <c r="F91" s="227">
        <f t="shared" si="0"/>
        <v>2.3E-2</v>
      </c>
      <c r="G91" s="230">
        <f t="shared" si="1"/>
        <v>276</v>
      </c>
      <c r="H91" s="259" t="str">
        <f>IF('ANALITICA PRESUPUESTO'!R24="","",'ANALITICA PRESUPUESTO'!R24)</f>
        <v/>
      </c>
      <c r="I91" s="25"/>
      <c r="J91" s="25"/>
      <c r="K91" s="31"/>
      <c r="L91" s="25"/>
      <c r="M91" s="25"/>
      <c r="N91" s="14"/>
      <c r="O91" s="14"/>
      <c r="P91" s="14"/>
    </row>
    <row r="92" spans="2:16" ht="12.75" customHeight="1" x14ac:dyDescent="0.25">
      <c r="B92" s="507"/>
      <c r="C92" s="510"/>
      <c r="D92" s="390" t="str">
        <f>+'ANALITICA PRESUPUESTO'!B25</f>
        <v>RECURSOS DE CAPITAL</v>
      </c>
      <c r="E92" s="391">
        <f>IF($B$85="Sin Recaudo","",'ANALITICA PRESUPUESTO'!N25)</f>
        <v>12000</v>
      </c>
      <c r="F92" s="226">
        <f t="shared" si="0"/>
        <v>2.3E-2</v>
      </c>
      <c r="G92" s="229">
        <f t="shared" si="1"/>
        <v>276</v>
      </c>
      <c r="H92" s="125" t="str">
        <f>IF('ANALITICA PRESUPUESTO'!R25="","",'ANALITICA PRESUPUESTO'!R25)</f>
        <v/>
      </c>
      <c r="I92" s="25"/>
      <c r="J92" s="25"/>
      <c r="K92" s="31"/>
      <c r="L92" s="25"/>
      <c r="M92" s="25"/>
      <c r="N92" s="14"/>
      <c r="O92" s="14"/>
      <c r="P92" s="14"/>
    </row>
    <row r="93" spans="2:16" ht="12.75" customHeight="1" x14ac:dyDescent="0.25">
      <c r="B93" s="507"/>
      <c r="C93" s="510"/>
      <c r="D93" s="392" t="str">
        <f>+'ANALITICA PRESUPUESTO'!B26</f>
        <v>Disposición de activos</v>
      </c>
      <c r="E93" s="393">
        <f>IF($B$85="Sin Recaudo","",'ANALITICA PRESUPUESTO'!N26)</f>
        <v>14000</v>
      </c>
      <c r="F93" s="227">
        <f t="shared" si="0"/>
        <v>2.3E-2</v>
      </c>
      <c r="G93" s="230">
        <f t="shared" si="1"/>
        <v>322</v>
      </c>
      <c r="H93" s="259" t="str">
        <f>IF('ANALITICA PRESUPUESTO'!R26="","",'ANALITICA PRESUPUESTO'!R26)</f>
        <v/>
      </c>
      <c r="I93" s="25"/>
      <c r="J93" s="25"/>
      <c r="K93" s="31"/>
      <c r="L93" s="25"/>
      <c r="M93" s="25"/>
      <c r="N93" s="14"/>
      <c r="O93" s="14"/>
      <c r="P93" s="14"/>
    </row>
    <row r="94" spans="2:16" ht="12.75" customHeight="1" x14ac:dyDescent="0.25">
      <c r="B94" s="507"/>
      <c r="C94" s="510"/>
      <c r="D94" s="392" t="str">
        <f>+'ANALITICA PRESUPUESTO'!B27</f>
        <v>Excedentes financieros</v>
      </c>
      <c r="E94" s="393">
        <f>IF($B$85="Sin Recaudo","",'ANALITICA PRESUPUESTO'!N27)</f>
        <v>14000</v>
      </c>
      <c r="F94" s="227">
        <f t="shared" si="0"/>
        <v>2.3E-2</v>
      </c>
      <c r="G94" s="230">
        <f t="shared" si="1"/>
        <v>322</v>
      </c>
      <c r="H94" s="259" t="str">
        <f>IF('ANALITICA PRESUPUESTO'!R27="","",'ANALITICA PRESUPUESTO'!R27)</f>
        <v/>
      </c>
      <c r="I94" s="25"/>
      <c r="J94" s="25"/>
      <c r="K94" s="31"/>
      <c r="L94" s="25"/>
      <c r="M94" s="25"/>
      <c r="N94" s="14"/>
      <c r="O94" s="14"/>
      <c r="P94" s="14"/>
    </row>
    <row r="95" spans="2:16" ht="12.75" customHeight="1" x14ac:dyDescent="0.25">
      <c r="B95" s="507"/>
      <c r="C95" s="510"/>
      <c r="D95" s="392" t="str">
        <f>+'ANALITICA PRESUPUESTO'!B28</f>
        <v>Dividendos y utilidades por otras Inversiones de CAPITAL</v>
      </c>
      <c r="E95" s="393">
        <f>IF($B$85="Sin Recaudo","",'ANALITICA PRESUPUESTO'!N28)</f>
        <v>14000</v>
      </c>
      <c r="F95" s="227">
        <f t="shared" si="0"/>
        <v>2.3E-2</v>
      </c>
      <c r="G95" s="230">
        <f t="shared" si="1"/>
        <v>322</v>
      </c>
      <c r="H95" s="259" t="str">
        <f>IF('ANALITICA PRESUPUESTO'!R28="","",'ANALITICA PRESUPUESTO'!R28)</f>
        <v>SI</v>
      </c>
      <c r="I95" s="25"/>
      <c r="J95" s="25"/>
      <c r="K95" s="31"/>
      <c r="L95" s="25"/>
      <c r="M95" s="25"/>
      <c r="N95" s="14"/>
      <c r="O95" s="14"/>
      <c r="P95" s="14"/>
    </row>
    <row r="96" spans="2:16" ht="15" customHeight="1" x14ac:dyDescent="0.25">
      <c r="B96" s="507"/>
      <c r="C96" s="510"/>
      <c r="D96" s="392" t="str">
        <f>+'ANALITICA PRESUPUESTO'!B29</f>
        <v>Rendimientos financieros</v>
      </c>
      <c r="E96" s="393">
        <f>IF($B$85="Sin Recaudo","",'ANALITICA PRESUPUESTO'!N29)</f>
        <v>14000</v>
      </c>
      <c r="F96" s="227">
        <f t="shared" si="0"/>
        <v>2.3E-2</v>
      </c>
      <c r="G96" s="230">
        <f t="shared" si="1"/>
        <v>322</v>
      </c>
      <c r="H96" s="259" t="str">
        <f>IF('ANALITICA PRESUPUESTO'!R29="","",'ANALITICA PRESUPUESTO'!R29)</f>
        <v/>
      </c>
      <c r="I96" s="25"/>
      <c r="J96" s="25"/>
      <c r="K96" s="31"/>
      <c r="L96" s="25"/>
      <c r="M96" s="25"/>
      <c r="N96" s="14"/>
      <c r="O96" s="14"/>
      <c r="P96" s="14"/>
    </row>
    <row r="97" spans="2:16" ht="12.75" customHeight="1" x14ac:dyDescent="0.25">
      <c r="B97" s="507"/>
      <c r="C97" s="510"/>
      <c r="D97" s="392" t="str">
        <f>+'ANALITICA PRESUPUESTO'!B30</f>
        <v>RECURSOS de crédito externo</v>
      </c>
      <c r="E97" s="393">
        <f>IF($B$85="Sin Recaudo","",'ANALITICA PRESUPUESTO'!N30)</f>
        <v>14000</v>
      </c>
      <c r="F97" s="227">
        <f t="shared" si="0"/>
        <v>2.3E-2</v>
      </c>
      <c r="G97" s="230">
        <f t="shared" si="1"/>
        <v>322</v>
      </c>
      <c r="H97" s="259" t="str">
        <f>IF('ANALITICA PRESUPUESTO'!R30="","",'ANALITICA PRESUPUESTO'!R30)</f>
        <v/>
      </c>
      <c r="I97" s="25"/>
      <c r="J97" s="25"/>
      <c r="K97" s="31"/>
      <c r="L97" s="25"/>
      <c r="M97" s="25"/>
      <c r="N97" s="14"/>
      <c r="O97" s="14"/>
      <c r="P97" s="14"/>
    </row>
    <row r="98" spans="2:16" ht="12.75" customHeight="1" x14ac:dyDescent="0.25">
      <c r="B98" s="507"/>
      <c r="C98" s="510"/>
      <c r="D98" s="392" t="str">
        <f>+'ANALITICA PRESUPUESTO'!B31</f>
        <v>RECURSOS de crédito interno</v>
      </c>
      <c r="E98" s="393">
        <f>IF($B$85="Sin Recaudo","",'ANALITICA PRESUPUESTO'!N31)</f>
        <v>14000</v>
      </c>
      <c r="F98" s="227">
        <f t="shared" si="0"/>
        <v>2.3E-2</v>
      </c>
      <c r="G98" s="230">
        <f t="shared" si="1"/>
        <v>322</v>
      </c>
      <c r="H98" s="259" t="str">
        <f>IF('ANALITICA PRESUPUESTO'!R31="","",'ANALITICA PRESUPUESTO'!R31)</f>
        <v/>
      </c>
      <c r="I98" s="25"/>
      <c r="J98" s="25"/>
      <c r="K98" s="31"/>
      <c r="L98" s="25"/>
      <c r="M98" s="25"/>
      <c r="N98" s="14"/>
      <c r="O98" s="14"/>
      <c r="P98" s="14"/>
    </row>
    <row r="99" spans="2:16" ht="12.75" customHeight="1" x14ac:dyDescent="0.25">
      <c r="B99" s="507"/>
      <c r="C99" s="510"/>
      <c r="D99" s="392" t="str">
        <f>+'ANALITICA PRESUPUESTO'!B32</f>
        <v>Transferencias de CAPITAL</v>
      </c>
      <c r="E99" s="393">
        <f>IF($B$85="Sin Recaudo","",'ANALITICA PRESUPUESTO'!N32)</f>
        <v>14000</v>
      </c>
      <c r="F99" s="227">
        <f t="shared" si="0"/>
        <v>2.3E-2</v>
      </c>
      <c r="G99" s="230">
        <f t="shared" si="1"/>
        <v>322</v>
      </c>
      <c r="H99" s="259" t="str">
        <f>IF('ANALITICA PRESUPUESTO'!R32="","",'ANALITICA PRESUPUESTO'!R32)</f>
        <v>SI</v>
      </c>
      <c r="I99" s="25"/>
      <c r="J99" s="25"/>
      <c r="K99" s="31"/>
      <c r="L99" s="25"/>
      <c r="M99" s="25"/>
      <c r="N99" s="14"/>
      <c r="O99" s="14"/>
      <c r="P99" s="14"/>
    </row>
    <row r="100" spans="2:16" ht="12.75" customHeight="1" x14ac:dyDescent="0.25">
      <c r="B100" s="507"/>
      <c r="C100" s="510"/>
      <c r="D100" s="392" t="str">
        <f>+'ANALITICA PRESUPUESTO'!B33</f>
        <v>Recuperación de cartera</v>
      </c>
      <c r="E100" s="393">
        <f>IF($B$85="Sin Recaudo","",'ANALITICA PRESUPUESTO'!N33)</f>
        <v>14000</v>
      </c>
      <c r="F100" s="227">
        <f t="shared" si="0"/>
        <v>2.3E-2</v>
      </c>
      <c r="G100" s="230">
        <f t="shared" si="1"/>
        <v>322</v>
      </c>
      <c r="H100" s="259" t="str">
        <f>IF('ANALITICA PRESUPUESTO'!R33="","",'ANALITICA PRESUPUESTO'!R33)</f>
        <v/>
      </c>
      <c r="I100" s="25"/>
      <c r="J100" s="25"/>
      <c r="K100" s="31"/>
      <c r="L100" s="25"/>
      <c r="M100" s="25"/>
      <c r="N100" s="14"/>
      <c r="O100" s="14"/>
      <c r="P100" s="14"/>
    </row>
    <row r="101" spans="2:16" ht="12.75" customHeight="1" x14ac:dyDescent="0.25">
      <c r="B101" s="507"/>
      <c r="C101" s="510"/>
      <c r="D101" s="392" t="str">
        <f>+'ANALITICA PRESUPUESTO'!B34</f>
        <v>RECURSOS del balance</v>
      </c>
      <c r="E101" s="393">
        <f>IF($B$85="Sin Recaudo","",'ANALITICA PRESUPUESTO'!N34)</f>
        <v>14000</v>
      </c>
      <c r="F101" s="227">
        <f t="shared" si="0"/>
        <v>2.3E-2</v>
      </c>
      <c r="G101" s="230">
        <f t="shared" si="1"/>
        <v>322</v>
      </c>
      <c r="H101" s="259" t="str">
        <f>IF('ANALITICA PRESUPUESTO'!R34="","",'ANALITICA PRESUPUESTO'!R34)</f>
        <v/>
      </c>
      <c r="I101" s="25"/>
      <c r="J101" s="25"/>
      <c r="K101" s="31"/>
      <c r="L101" s="25"/>
      <c r="M101" s="25"/>
      <c r="N101" s="14"/>
      <c r="O101" s="14"/>
      <c r="P101" s="14"/>
    </row>
    <row r="102" spans="2:16" ht="12.75" customHeight="1" x14ac:dyDescent="0.25">
      <c r="B102" s="507"/>
      <c r="C102" s="510"/>
      <c r="D102" s="392" t="str">
        <f>+'ANALITICA PRESUPUESTO'!B35</f>
        <v>Diferencial cambiario</v>
      </c>
      <c r="E102" s="393">
        <f>IF($B$85="Sin Recaudo","",'ANALITICA PRESUPUESTO'!N35)</f>
        <v>14000</v>
      </c>
      <c r="F102" s="227">
        <f t="shared" si="0"/>
        <v>2.3E-2</v>
      </c>
      <c r="G102" s="230">
        <f t="shared" si="1"/>
        <v>322</v>
      </c>
      <c r="H102" s="259" t="str">
        <f>IF('ANALITICA PRESUPUESTO'!R35="","",'ANALITICA PRESUPUESTO'!R35)</f>
        <v/>
      </c>
      <c r="I102" s="25"/>
      <c r="J102" s="25"/>
      <c r="K102" s="31"/>
      <c r="L102" s="25"/>
      <c r="M102" s="25"/>
      <c r="N102" s="14"/>
      <c r="O102" s="14"/>
      <c r="P102" s="14"/>
    </row>
    <row r="103" spans="2:16" ht="12.75" customHeight="1" x14ac:dyDescent="0.25">
      <c r="B103" s="507"/>
      <c r="C103" s="510"/>
      <c r="D103" s="392" t="str">
        <f>+'ANALITICA PRESUPUESTO'!B36</f>
        <v>Retiros FONPET</v>
      </c>
      <c r="E103" s="393">
        <f>IF($B$85="Sin Recaudo","",'ANALITICA PRESUPUESTO'!N36)</f>
        <v>14000</v>
      </c>
      <c r="F103" s="227">
        <f t="shared" si="0"/>
        <v>2.3E-2</v>
      </c>
      <c r="G103" s="230">
        <f t="shared" si="1"/>
        <v>322</v>
      </c>
      <c r="H103" s="259" t="str">
        <f>IF('ANALITICA PRESUPUESTO'!R36="","",'ANALITICA PRESUPUESTO'!R36)</f>
        <v/>
      </c>
      <c r="I103" s="25"/>
      <c r="J103" s="25"/>
      <c r="K103" s="31"/>
      <c r="L103" s="25"/>
      <c r="M103" s="25"/>
      <c r="N103" s="14"/>
      <c r="O103" s="14"/>
      <c r="P103" s="14"/>
    </row>
    <row r="104" spans="2:16" ht="12.75" customHeight="1" x14ac:dyDescent="0.25">
      <c r="B104" s="507"/>
      <c r="C104" s="510"/>
      <c r="D104" s="392" t="str">
        <f>+'ANALITICA PRESUPUESTO'!B37</f>
        <v>Reintegros y otros RECURSOS no apropiados</v>
      </c>
      <c r="E104" s="393">
        <f>IF($B$85="Sin Recaudo","",'ANALITICA PRESUPUESTO'!N37)</f>
        <v>14000</v>
      </c>
      <c r="F104" s="227">
        <f t="shared" si="0"/>
        <v>2.3E-2</v>
      </c>
      <c r="G104" s="230">
        <f t="shared" si="1"/>
        <v>322</v>
      </c>
      <c r="H104" s="259" t="str">
        <f>IF('ANALITICA PRESUPUESTO'!R37="","",'ANALITICA PRESUPUESTO'!R37)</f>
        <v/>
      </c>
      <c r="I104" s="25"/>
      <c r="J104" s="25"/>
      <c r="K104" s="31"/>
      <c r="L104" s="25"/>
      <c r="M104" s="25"/>
      <c r="N104" s="14"/>
      <c r="O104" s="14"/>
      <c r="P104" s="14"/>
    </row>
    <row r="105" spans="2:16" ht="12.75" customHeight="1" x14ac:dyDescent="0.25">
      <c r="B105" s="507"/>
      <c r="C105" s="510"/>
      <c r="D105" s="390" t="str">
        <f>+'ANALITICA PRESUPUESTO'!B38</f>
        <v>Transferencias</v>
      </c>
      <c r="E105" s="391">
        <f>IF($B$85="Sin Recaudo","",'ANALITICA PRESUPUESTO'!N38)</f>
        <v>14000</v>
      </c>
      <c r="F105" s="226">
        <f t="shared" si="0"/>
        <v>2.3E-2</v>
      </c>
      <c r="G105" s="229">
        <f t="shared" si="1"/>
        <v>322</v>
      </c>
      <c r="H105" s="125" t="str">
        <f>IF('ANALITICA PRESUPUESTO'!R38="","",'ANALITICA PRESUPUESTO'!R38)</f>
        <v/>
      </c>
      <c r="I105" s="25"/>
      <c r="J105" s="25"/>
      <c r="K105" s="31"/>
      <c r="L105" s="25"/>
      <c r="M105" s="25"/>
      <c r="N105" s="14"/>
      <c r="O105" s="14"/>
      <c r="P105" s="14"/>
    </row>
    <row r="106" spans="2:16" ht="12.75" customHeight="1" x14ac:dyDescent="0.25">
      <c r="B106" s="507"/>
      <c r="C106" s="510"/>
      <c r="D106" s="392" t="str">
        <f>+'ANALITICA PRESUPUESTO'!B39</f>
        <v>Transferencias corrientes nacionales</v>
      </c>
      <c r="E106" s="393">
        <f>IF($B$85="Sin Recaudo","",'ANALITICA PRESUPUESTO'!N39)</f>
        <v>14001</v>
      </c>
      <c r="F106" s="227">
        <f t="shared" si="0"/>
        <v>2.3E-2</v>
      </c>
      <c r="G106" s="230">
        <f t="shared" si="1"/>
        <v>322.02299999999997</v>
      </c>
      <c r="H106" s="259" t="str">
        <f>IF('ANALITICA PRESUPUESTO'!R39="","",'ANALITICA PRESUPUESTO'!R39)</f>
        <v/>
      </c>
      <c r="I106" s="25"/>
      <c r="J106" s="25"/>
      <c r="K106" s="31"/>
      <c r="L106" s="25"/>
      <c r="M106" s="25"/>
      <c r="N106" s="14"/>
      <c r="O106" s="14"/>
      <c r="P106" s="14"/>
    </row>
    <row r="107" spans="2:16" ht="12.75" customHeight="1" x14ac:dyDescent="0.25">
      <c r="B107" s="507"/>
      <c r="C107" s="510"/>
      <c r="D107" s="392" t="str">
        <f>+'ANALITICA PRESUPUESTO'!B40</f>
        <v>Departamentales</v>
      </c>
      <c r="E107" s="393">
        <f>IF($B$85="Sin Recaudo","",'ANALITICA PRESUPUESTO'!N40)</f>
        <v>14002</v>
      </c>
      <c r="F107" s="227">
        <f t="shared" si="0"/>
        <v>2.3E-2</v>
      </c>
      <c r="G107" s="230">
        <f t="shared" si="1"/>
        <v>322.04599999999999</v>
      </c>
      <c r="H107" s="259" t="str">
        <f>IF('ANALITICA PRESUPUESTO'!R40="","",'ANALITICA PRESUPUESTO'!R40)</f>
        <v/>
      </c>
      <c r="I107" s="25"/>
      <c r="J107" s="25"/>
      <c r="K107" s="31"/>
      <c r="L107" s="25"/>
      <c r="M107" s="25"/>
      <c r="N107" s="14"/>
      <c r="O107" s="14"/>
      <c r="P107" s="14"/>
    </row>
    <row r="108" spans="2:16" ht="12.75" customHeight="1" x14ac:dyDescent="0.25">
      <c r="B108" s="507"/>
      <c r="C108" s="510"/>
      <c r="D108" s="392" t="str">
        <f>+'ANALITICA PRESUPUESTO'!B41</f>
        <v>Distritales</v>
      </c>
      <c r="E108" s="393">
        <f>IF($B$85="Sin Recaudo","",'ANALITICA PRESUPUESTO'!N41)</f>
        <v>14003</v>
      </c>
      <c r="F108" s="227">
        <f t="shared" si="0"/>
        <v>2.3E-2</v>
      </c>
      <c r="G108" s="230">
        <f t="shared" si="1"/>
        <v>322.06900000000002</v>
      </c>
      <c r="H108" s="259" t="str">
        <f>IF('ANALITICA PRESUPUESTO'!R41="","",'ANALITICA PRESUPUESTO'!R41)</f>
        <v/>
      </c>
      <c r="I108" s="25"/>
      <c r="J108" s="25"/>
      <c r="K108" s="31"/>
      <c r="L108" s="25"/>
      <c r="M108" s="25"/>
      <c r="N108" s="14"/>
      <c r="O108" s="14"/>
      <c r="P108" s="14"/>
    </row>
    <row r="109" spans="2:16" ht="12.75" customHeight="1" x14ac:dyDescent="0.25">
      <c r="B109" s="507"/>
      <c r="C109" s="510"/>
      <c r="D109" s="392" t="str">
        <f>+'ANALITICA PRESUPUESTO'!B42</f>
        <v>Otras Transferencias</v>
      </c>
      <c r="E109" s="393">
        <f>IF($B$85="Sin Recaudo","",'ANALITICA PRESUPUESTO'!N42)</f>
        <v>14004</v>
      </c>
      <c r="F109" s="227">
        <f t="shared" si="0"/>
        <v>2.3E-2</v>
      </c>
      <c r="G109" s="230">
        <f t="shared" si="1"/>
        <v>322.09199999999998</v>
      </c>
      <c r="H109" s="259" t="str">
        <f>IF('ANALITICA PRESUPUESTO'!R42="","",'ANALITICA PRESUPUESTO'!R42)</f>
        <v/>
      </c>
      <c r="I109" s="25"/>
      <c r="J109" s="25"/>
      <c r="K109" s="31"/>
      <c r="L109" s="25"/>
      <c r="M109" s="25"/>
      <c r="N109" s="14"/>
      <c r="O109" s="14"/>
      <c r="P109" s="14"/>
    </row>
    <row r="110" spans="2:16" ht="12.75" customHeight="1" x14ac:dyDescent="0.25">
      <c r="B110" s="507"/>
      <c r="C110" s="510"/>
      <c r="D110" s="390" t="str">
        <f>+'ANALITICA PRESUPUESTO'!B43</f>
        <v>Transferencias Administración Central</v>
      </c>
      <c r="E110" s="391">
        <f>IF($B$85="Sin Recaudo","",'ANALITICA PRESUPUESTO'!N43)</f>
        <v>14005</v>
      </c>
      <c r="F110" s="226">
        <f t="shared" si="0"/>
        <v>2.3E-2</v>
      </c>
      <c r="G110" s="229">
        <f t="shared" si="1"/>
        <v>322.11500000000001</v>
      </c>
      <c r="H110" s="125" t="str">
        <f>IF('ANALITICA PRESUPUESTO'!R43="","",'ANALITICA PRESUPUESTO'!R43)</f>
        <v/>
      </c>
      <c r="I110" s="25"/>
      <c r="J110" s="25"/>
      <c r="K110" s="31"/>
      <c r="L110" s="25"/>
      <c r="M110" s="25"/>
      <c r="N110" s="14"/>
      <c r="O110" s="14"/>
      <c r="P110" s="14"/>
    </row>
    <row r="111" spans="2:16" ht="12.75" customHeight="1" thickBot="1" x14ac:dyDescent="0.3">
      <c r="B111" s="508"/>
      <c r="C111" s="511"/>
      <c r="D111" s="394">
        <f>+'ANALITICA PRESUPUESTO'!B44</f>
        <v>0</v>
      </c>
      <c r="E111" s="395">
        <f>IF($B$85="Sin Recaudo","",'ANALITICA PRESUPUESTO'!N44)</f>
        <v>0</v>
      </c>
      <c r="F111" s="261">
        <f t="shared" si="0"/>
        <v>2.3E-2</v>
      </c>
      <c r="G111" s="262">
        <f t="shared" si="1"/>
        <v>0</v>
      </c>
      <c r="H111" s="260" t="str">
        <f>IF('ANALITICA PRESUPUESTO'!R44="","",'ANALITICA PRESUPUESTO'!R44)</f>
        <v/>
      </c>
      <c r="I111" s="25"/>
      <c r="J111" s="25"/>
      <c r="K111" s="31"/>
      <c r="L111" s="25"/>
      <c r="M111" s="25"/>
      <c r="N111" s="14"/>
      <c r="O111" s="14"/>
      <c r="P111" s="14"/>
    </row>
    <row r="112" spans="2:16" ht="12.75" customHeight="1" x14ac:dyDescent="0.25">
      <c r="B112" s="498" t="s">
        <v>447</v>
      </c>
      <c r="C112" s="498"/>
      <c r="D112" s="498"/>
      <c r="E112" s="498"/>
      <c r="F112" s="498"/>
      <c r="G112" s="498"/>
      <c r="H112" s="14"/>
      <c r="I112" s="25"/>
      <c r="J112" s="25"/>
      <c r="K112" s="31"/>
      <c r="L112" s="25"/>
      <c r="M112" s="25"/>
      <c r="N112" s="14"/>
      <c r="O112" s="14"/>
      <c r="P112" s="14"/>
    </row>
    <row r="113" spans="2:16" ht="12.75" customHeight="1" x14ac:dyDescent="0.25">
      <c r="B113" s="498"/>
      <c r="C113" s="498"/>
      <c r="D113" s="498"/>
      <c r="E113" s="498"/>
      <c r="F113" s="498"/>
      <c r="G113" s="498"/>
      <c r="H113" s="14"/>
      <c r="I113" s="25"/>
      <c r="J113" s="25"/>
      <c r="K113" s="31"/>
      <c r="L113" s="25"/>
      <c r="M113" s="25"/>
      <c r="N113" s="14"/>
      <c r="O113" s="14"/>
      <c r="P113" s="14"/>
    </row>
    <row r="114" spans="2:16" ht="71.25" customHeight="1" x14ac:dyDescent="0.25">
      <c r="B114" s="498"/>
      <c r="C114" s="498"/>
      <c r="D114" s="498"/>
      <c r="E114" s="498"/>
      <c r="F114" s="498"/>
      <c r="G114" s="498"/>
      <c r="H114" s="14"/>
      <c r="I114" s="25"/>
      <c r="J114" s="25"/>
      <c r="K114" s="31"/>
      <c r="L114" s="25"/>
      <c r="M114" s="25"/>
      <c r="N114" s="14"/>
      <c r="O114" s="14"/>
      <c r="P114" s="14"/>
    </row>
    <row r="115" spans="2:16" ht="12.75" customHeight="1" x14ac:dyDescent="0.25">
      <c r="B115" s="14"/>
      <c r="C115" s="14"/>
      <c r="D115" s="14"/>
      <c r="E115" s="14"/>
      <c r="F115" s="14"/>
      <c r="G115" s="14"/>
      <c r="H115" s="14"/>
      <c r="I115" s="25"/>
      <c r="J115" s="25"/>
      <c r="K115" s="31"/>
      <c r="L115" s="25"/>
      <c r="M115" s="25"/>
      <c r="N115" s="14"/>
      <c r="O115" s="14"/>
      <c r="P115" s="14"/>
    </row>
    <row r="116" spans="2:16" ht="12.75" customHeight="1" x14ac:dyDescent="0.25">
      <c r="B116" s="492" t="s">
        <v>445</v>
      </c>
      <c r="C116" s="492"/>
      <c r="D116" s="492"/>
      <c r="E116" s="492"/>
      <c r="F116" s="492"/>
      <c r="G116" s="492"/>
      <c r="H116" s="14"/>
      <c r="I116" s="25"/>
      <c r="J116" s="25"/>
      <c r="K116" s="31"/>
      <c r="L116" s="25"/>
      <c r="M116" s="25"/>
      <c r="N116" s="14"/>
      <c r="O116" s="14"/>
      <c r="P116" s="14"/>
    </row>
    <row r="117" spans="2:16" ht="12.75" customHeight="1" thickBot="1" x14ac:dyDescent="0.3">
      <c r="B117" s="126"/>
      <c r="C117" s="126"/>
      <c r="D117" s="126"/>
      <c r="E117" s="126"/>
      <c r="F117" s="126"/>
      <c r="G117" s="126"/>
      <c r="H117" s="14"/>
      <c r="I117" s="25"/>
      <c r="J117" s="25"/>
      <c r="K117" s="31"/>
      <c r="L117" s="25"/>
      <c r="M117" s="25"/>
      <c r="N117" s="14"/>
      <c r="O117" s="14"/>
      <c r="P117" s="14"/>
    </row>
    <row r="118" spans="2:16" ht="60" customHeight="1" thickBot="1" x14ac:dyDescent="0.3">
      <c r="B118" s="264" t="s">
        <v>27</v>
      </c>
      <c r="C118" s="265" t="s">
        <v>572</v>
      </c>
      <c r="D118" s="266" t="s">
        <v>446</v>
      </c>
      <c r="E118" s="267" t="s">
        <v>28</v>
      </c>
      <c r="F118" s="265" t="s">
        <v>29</v>
      </c>
      <c r="G118" s="265" t="s">
        <v>30</v>
      </c>
      <c r="H118" s="263" t="s">
        <v>323</v>
      </c>
      <c r="I118" s="25"/>
      <c r="J118" s="25"/>
      <c r="K118" s="31"/>
      <c r="L118" s="25"/>
      <c r="M118" s="25"/>
      <c r="N118" s="14"/>
      <c r="O118" s="14"/>
      <c r="P118" s="14"/>
    </row>
    <row r="119" spans="2:16" ht="15" customHeight="1" x14ac:dyDescent="0.25">
      <c r="B119" s="486">
        <f>IF(OR($C$40="No Aplica",$G$40="No Aplica"),"No Aplica",IF($B$76="UNIVERSO DE GASTOS: Conformado por el total del presupuesto COMPROMETIDO, por todos los conceptos, en la vigencia a auditar",SUM($C$41:$G$41),IF($B$77="UNIVERSO DE GASTOS: Conformado por el total del presupuesto COMPROMETIDO, por todos los conceptos, en la vigencia a auditar",SUM($C$41:$G$41),IF($B$78="UNIVERSO DE GASTOS: Conformado por el total del presupuesto COMPROMETIDO, por todos los conceptos, en la vigencia a auditar",SUM($C$41:$G$41),"No Aplica"))))</f>
        <v>8</v>
      </c>
      <c r="C119" s="489" t="str">
        <f>IF(OR($C$40="No Aplica",$G$40="No Aplica"),"No Aplica",IF($C$40="No Hay",IF(AND($B$119&gt;=4,$B$119&lt;=7),$D$63,IF(AND($B$119&gt;=8,B119&lt;=11),$D$64,$D$65)),IF(AND($B$119&gt;=5,$B$119&lt;=9),$D$63,IF(AND($B$119&gt;=10,B119&lt;=14),$D$64,$D$65))))</f>
        <v>&gt;1,7% y &lt;=2,3%</v>
      </c>
      <c r="D119" s="343" t="str">
        <f>+'ANALITICA PRESUPUESTO'!B49</f>
        <v>GASTOS</v>
      </c>
      <c r="E119" s="389">
        <f>+'ANALITICA PRESUPUESTO'!N49</f>
        <v>133000000000</v>
      </c>
      <c r="F119" s="236">
        <f t="shared" ref="F119:F153" si="2">VLOOKUP($C$119,$D$63:$E$65,2,FALSE)</f>
        <v>2.3E-2</v>
      </c>
      <c r="G119" s="228">
        <f>IF(OR($B$119="No Aplica",$C$119="No Aplica"),"No Aplica",IF(E119="","",E119*F119))</f>
        <v>3059000000</v>
      </c>
      <c r="H119" s="124" t="str">
        <f>IF('ANALITICA PRESUPUESTO'!R49="","",'ANALITICA PRESUPUESTO'!R49)</f>
        <v/>
      </c>
      <c r="I119" s="25"/>
      <c r="J119" s="25"/>
      <c r="K119" s="31"/>
      <c r="L119" s="25"/>
      <c r="M119" s="25"/>
      <c r="N119" s="14"/>
      <c r="O119" s="14"/>
      <c r="P119" s="14"/>
    </row>
    <row r="120" spans="2:16" ht="15" customHeight="1" x14ac:dyDescent="0.25">
      <c r="B120" s="487"/>
      <c r="C120" s="490"/>
      <c r="D120" s="137" t="str">
        <f>+'ANALITICA PRESUPUESTO'!B50</f>
        <v>GASTOS DE FUNCIONAMIENTO</v>
      </c>
      <c r="E120" s="391">
        <f>+'ANALITICA PRESUPUESTO'!N50</f>
        <v>200000</v>
      </c>
      <c r="F120" s="226">
        <f t="shared" si="2"/>
        <v>2.3E-2</v>
      </c>
      <c r="G120" s="229">
        <f t="shared" ref="G120:G153" si="3">IF(OR($B$119="No Aplica",$C$119="No Aplica"),"No Aplica",IF(E120="","",E120*F120))</f>
        <v>4600</v>
      </c>
      <c r="H120" s="125" t="str">
        <f>IF('ANALITICA PRESUPUESTO'!R50="","",'ANALITICA PRESUPUESTO'!R50)</f>
        <v/>
      </c>
      <c r="I120" s="25"/>
      <c r="J120" s="25"/>
      <c r="K120" s="31"/>
      <c r="L120" s="25"/>
      <c r="M120" s="25"/>
      <c r="N120" s="14"/>
      <c r="O120" s="14"/>
      <c r="P120" s="14"/>
    </row>
    <row r="121" spans="2:16" ht="15" customHeight="1" x14ac:dyDescent="0.25">
      <c r="B121" s="487"/>
      <c r="C121" s="490"/>
      <c r="D121" s="350" t="str">
        <f>+'ANALITICA PRESUPUESTO'!B51</f>
        <v>Gasto de personal</v>
      </c>
      <c r="E121" s="393">
        <f>+'ANALITICA PRESUPUESTO'!N51</f>
        <v>5000000</v>
      </c>
      <c r="F121" s="227">
        <f t="shared" si="2"/>
        <v>2.3E-2</v>
      </c>
      <c r="G121" s="230">
        <f t="shared" si="3"/>
        <v>115000</v>
      </c>
      <c r="H121" s="259" t="str">
        <f>IF('ANALITICA PRESUPUESTO'!R51="","",'ANALITICA PRESUPUESTO'!R51)</f>
        <v/>
      </c>
      <c r="I121" s="25"/>
      <c r="J121" s="25"/>
      <c r="K121" s="31"/>
      <c r="L121" s="25"/>
      <c r="M121" s="25"/>
      <c r="N121" s="14"/>
      <c r="O121" s="14"/>
      <c r="P121" s="14"/>
    </row>
    <row r="122" spans="2:16" ht="15" customHeight="1" x14ac:dyDescent="0.25">
      <c r="B122" s="487"/>
      <c r="C122" s="490"/>
      <c r="D122" s="350" t="str">
        <f>+'ANALITICA PRESUPUESTO'!B52</f>
        <v>Planta de Personal permanente</v>
      </c>
      <c r="E122" s="393">
        <f>+'ANALITICA PRESUPUESTO'!N52</f>
        <v>120000</v>
      </c>
      <c r="F122" s="227">
        <f t="shared" si="2"/>
        <v>2.3E-2</v>
      </c>
      <c r="G122" s="230">
        <f t="shared" si="3"/>
        <v>2760</v>
      </c>
      <c r="H122" s="259" t="str">
        <f>IF('ANALITICA PRESUPUESTO'!R52="","",'ANALITICA PRESUPUESTO'!R52)</f>
        <v/>
      </c>
      <c r="I122" s="25"/>
      <c r="J122" s="25"/>
      <c r="K122" s="31"/>
      <c r="L122" s="25"/>
      <c r="M122" s="25"/>
      <c r="N122" s="14"/>
      <c r="O122" s="14"/>
      <c r="P122" s="14"/>
    </row>
    <row r="123" spans="2:16" ht="15" customHeight="1" x14ac:dyDescent="0.25">
      <c r="B123" s="487"/>
      <c r="C123" s="490"/>
      <c r="D123" s="350" t="str">
        <f>+'ANALITICA PRESUPUESTO'!B53</f>
        <v>Personal supernumerario y Planta temporal</v>
      </c>
      <c r="E123" s="393">
        <f>+'ANALITICA PRESUPUESTO'!N53</f>
        <v>2000000</v>
      </c>
      <c r="F123" s="227">
        <f t="shared" si="2"/>
        <v>2.3E-2</v>
      </c>
      <c r="G123" s="230">
        <f t="shared" si="3"/>
        <v>46000</v>
      </c>
      <c r="H123" s="259" t="str">
        <f>IF('ANALITICA PRESUPUESTO'!R53="","",'ANALITICA PRESUPUESTO'!R53)</f>
        <v/>
      </c>
      <c r="I123" s="25"/>
      <c r="J123" s="25"/>
      <c r="K123" s="31"/>
      <c r="L123" s="25"/>
      <c r="M123" s="25"/>
      <c r="N123" s="14"/>
      <c r="O123" s="14"/>
      <c r="P123" s="14"/>
    </row>
    <row r="124" spans="2:16" ht="15" customHeight="1" x14ac:dyDescent="0.25">
      <c r="B124" s="487"/>
      <c r="C124" s="490"/>
      <c r="D124" s="350" t="str">
        <f>+'ANALITICA PRESUPUESTO'!B54</f>
        <v>Adquisición bienes y servicios</v>
      </c>
      <c r="E124" s="393">
        <f>+'ANALITICA PRESUPUESTO'!N54</f>
        <v>12000</v>
      </c>
      <c r="F124" s="227">
        <f t="shared" si="2"/>
        <v>2.3E-2</v>
      </c>
      <c r="G124" s="230">
        <f t="shared" si="3"/>
        <v>276</v>
      </c>
      <c r="H124" s="259" t="str">
        <f>IF('ANALITICA PRESUPUESTO'!R54="","",'ANALITICA PRESUPUESTO'!R54)</f>
        <v/>
      </c>
      <c r="I124" s="25"/>
      <c r="J124" s="25"/>
      <c r="K124" s="31"/>
      <c r="L124" s="25"/>
      <c r="M124" s="25"/>
      <c r="N124" s="14"/>
      <c r="O124" s="14"/>
      <c r="P124" s="14"/>
    </row>
    <row r="125" spans="2:16" ht="15" customHeight="1" x14ac:dyDescent="0.25">
      <c r="B125" s="487"/>
      <c r="C125" s="490"/>
      <c r="D125" s="350" t="str">
        <f>+'ANALITICA PRESUPUESTO'!B55</f>
        <v>Adquisición de activos no financieros</v>
      </c>
      <c r="E125" s="393">
        <f>+'ANALITICA PRESUPUESTO'!N55</f>
        <v>12000</v>
      </c>
      <c r="F125" s="227">
        <f t="shared" si="2"/>
        <v>2.3E-2</v>
      </c>
      <c r="G125" s="230">
        <f t="shared" si="3"/>
        <v>276</v>
      </c>
      <c r="H125" s="259" t="str">
        <f>IF('ANALITICA PRESUPUESTO'!R55="","",'ANALITICA PRESUPUESTO'!R55)</f>
        <v/>
      </c>
      <c r="I125" s="25"/>
      <c r="J125" s="25"/>
      <c r="K125" s="31"/>
      <c r="L125" s="25"/>
      <c r="M125" s="25"/>
      <c r="N125" s="14"/>
      <c r="O125" s="14"/>
      <c r="P125" s="14"/>
    </row>
    <row r="126" spans="2:16" ht="15" customHeight="1" x14ac:dyDescent="0.25">
      <c r="B126" s="487"/>
      <c r="C126" s="490"/>
      <c r="D126" s="350" t="str">
        <f>+'ANALITICA PRESUPUESTO'!B56</f>
        <v>Adquisiciones diferentes de activos</v>
      </c>
      <c r="E126" s="393">
        <f>+'ANALITICA PRESUPUESTO'!N56</f>
        <v>12000</v>
      </c>
      <c r="F126" s="227">
        <f t="shared" si="2"/>
        <v>2.3E-2</v>
      </c>
      <c r="G126" s="230">
        <f t="shared" si="3"/>
        <v>276</v>
      </c>
      <c r="H126" s="259" t="str">
        <f>IF('ANALITICA PRESUPUESTO'!R56="","",'ANALITICA PRESUPUESTO'!R56)</f>
        <v/>
      </c>
      <c r="I126" s="25"/>
      <c r="J126" s="25"/>
      <c r="K126" s="31"/>
      <c r="L126" s="25"/>
      <c r="M126" s="25"/>
      <c r="N126" s="14"/>
      <c r="O126" s="14"/>
      <c r="P126" s="14"/>
    </row>
    <row r="127" spans="2:16" ht="15" customHeight="1" x14ac:dyDescent="0.25">
      <c r="B127" s="487"/>
      <c r="C127" s="490"/>
      <c r="D127" s="350" t="str">
        <f>+'ANALITICA PRESUPUESTO'!B57</f>
        <v>Transferencias CORRIENTES</v>
      </c>
      <c r="E127" s="393">
        <f>+'ANALITICA PRESUPUESTO'!N57</f>
        <v>130000</v>
      </c>
      <c r="F127" s="227">
        <f t="shared" si="2"/>
        <v>2.3E-2</v>
      </c>
      <c r="G127" s="230">
        <f t="shared" si="3"/>
        <v>2990</v>
      </c>
      <c r="H127" s="259" t="str">
        <f>IF('ANALITICA PRESUPUESTO'!R57="","",'ANALITICA PRESUPUESTO'!R57)</f>
        <v/>
      </c>
      <c r="I127" s="25"/>
      <c r="J127" s="25"/>
      <c r="K127" s="31"/>
      <c r="L127" s="25"/>
      <c r="M127" s="25"/>
      <c r="N127" s="14"/>
      <c r="O127" s="14"/>
      <c r="P127" s="14"/>
    </row>
    <row r="128" spans="2:16" ht="15" customHeight="1" x14ac:dyDescent="0.25">
      <c r="B128" s="487"/>
      <c r="C128" s="490"/>
      <c r="D128" s="350" t="str">
        <f>+'ANALITICA PRESUPUESTO'!B58</f>
        <v>A organizaciones nacionales</v>
      </c>
      <c r="E128" s="393">
        <f>+'ANALITICA PRESUPUESTO'!N58</f>
        <v>12000</v>
      </c>
      <c r="F128" s="227">
        <f t="shared" si="2"/>
        <v>2.3E-2</v>
      </c>
      <c r="G128" s="230">
        <f t="shared" si="3"/>
        <v>276</v>
      </c>
      <c r="H128" s="259" t="str">
        <f>IF('ANALITICA PRESUPUESTO'!R58="","",'ANALITICA PRESUPUESTO'!R58)</f>
        <v/>
      </c>
      <c r="I128" s="25"/>
      <c r="J128" s="25"/>
      <c r="K128" s="31"/>
      <c r="L128" s="25"/>
      <c r="M128" s="25"/>
      <c r="N128" s="14"/>
      <c r="O128" s="14"/>
      <c r="P128" s="14"/>
    </row>
    <row r="129" spans="2:16" ht="15" customHeight="1" x14ac:dyDescent="0.25">
      <c r="B129" s="487"/>
      <c r="C129" s="490"/>
      <c r="D129" s="350" t="str">
        <f>+'ANALITICA PRESUPUESTO'!B59</f>
        <v>A entidades del gobierno</v>
      </c>
      <c r="E129" s="393">
        <f>+'ANALITICA PRESUPUESTO'!N59</f>
        <v>12000</v>
      </c>
      <c r="F129" s="227">
        <f t="shared" si="2"/>
        <v>2.3E-2</v>
      </c>
      <c r="G129" s="230">
        <f t="shared" si="3"/>
        <v>276</v>
      </c>
      <c r="H129" s="259" t="str">
        <f>IF('ANALITICA PRESUPUESTO'!R59="","",'ANALITICA PRESUPUESTO'!R59)</f>
        <v/>
      </c>
      <c r="I129" s="25"/>
      <c r="J129" s="25"/>
      <c r="K129" s="31"/>
      <c r="L129" s="33"/>
      <c r="M129" s="33"/>
      <c r="N129" s="34"/>
      <c r="O129" s="25"/>
      <c r="P129" s="33"/>
    </row>
    <row r="130" spans="2:16" ht="15" customHeight="1" x14ac:dyDescent="0.25">
      <c r="B130" s="487"/>
      <c r="C130" s="490"/>
      <c r="D130" s="350" t="str">
        <f>+'ANALITICA PRESUPUESTO'!B60</f>
        <v>Adquisición de activos financieros</v>
      </c>
      <c r="E130" s="393">
        <f>+'ANALITICA PRESUPUESTO'!N60</f>
        <v>12000</v>
      </c>
      <c r="F130" s="227">
        <f t="shared" si="2"/>
        <v>2.3E-2</v>
      </c>
      <c r="G130" s="230">
        <f t="shared" si="3"/>
        <v>276</v>
      </c>
      <c r="H130" s="259" t="str">
        <f>IF('ANALITICA PRESUPUESTO'!R60="","",'ANALITICA PRESUPUESTO'!R60)</f>
        <v/>
      </c>
      <c r="I130" s="25"/>
      <c r="J130" s="25"/>
      <c r="K130" s="31"/>
      <c r="L130" s="33"/>
      <c r="M130" s="33"/>
      <c r="N130" s="34"/>
      <c r="O130" s="25"/>
      <c r="P130" s="33"/>
    </row>
    <row r="131" spans="2:16" ht="15" customHeight="1" x14ac:dyDescent="0.25">
      <c r="B131" s="487"/>
      <c r="C131" s="490"/>
      <c r="D131" s="350" t="str">
        <f>+'ANALITICA PRESUPUESTO'!B61</f>
        <v>Aportes al FONPET</v>
      </c>
      <c r="E131" s="393">
        <f>+'ANALITICA PRESUPUESTO'!N61</f>
        <v>12000</v>
      </c>
      <c r="F131" s="227">
        <f t="shared" si="2"/>
        <v>2.3E-2</v>
      </c>
      <c r="G131" s="230">
        <f t="shared" si="3"/>
        <v>276</v>
      </c>
      <c r="H131" s="259" t="str">
        <f>IF('ANALITICA PRESUPUESTO'!R61="","",'ANALITICA PRESUPUESTO'!R61)</f>
        <v/>
      </c>
      <c r="I131" s="25"/>
      <c r="J131" s="25"/>
      <c r="K131" s="31"/>
      <c r="L131" s="33"/>
      <c r="M131" s="33"/>
      <c r="N131" s="34"/>
      <c r="O131" s="25"/>
      <c r="P131" s="33"/>
    </row>
    <row r="132" spans="2:16" ht="15" customHeight="1" x14ac:dyDescent="0.25">
      <c r="B132" s="487"/>
      <c r="C132" s="490"/>
      <c r="D132" s="350" t="str">
        <f>+'ANALITICA PRESUPUESTO'!B62</f>
        <v>Disminución de Pasivos</v>
      </c>
      <c r="E132" s="393">
        <f>+'ANALITICA PRESUPUESTO'!N62</f>
        <v>12000</v>
      </c>
      <c r="F132" s="227">
        <f t="shared" si="2"/>
        <v>2.3E-2</v>
      </c>
      <c r="G132" s="230">
        <f t="shared" si="3"/>
        <v>276</v>
      </c>
      <c r="H132" s="259" t="str">
        <f>IF('ANALITICA PRESUPUESTO'!R62="","",'ANALITICA PRESUPUESTO'!R62)</f>
        <v/>
      </c>
      <c r="I132" s="25"/>
      <c r="J132" s="25"/>
      <c r="K132" s="31"/>
      <c r="L132" s="33"/>
      <c r="M132" s="33"/>
      <c r="N132" s="34"/>
      <c r="O132" s="25"/>
      <c r="P132" s="33"/>
    </row>
    <row r="133" spans="2:16" ht="29.25" customHeight="1" x14ac:dyDescent="0.25">
      <c r="B133" s="487"/>
      <c r="C133" s="490"/>
      <c r="D133" s="350" t="str">
        <f>+'ANALITICA PRESUPUESTO'!B63</f>
        <v>Gastos por tributos, tasas, contribuciones, multas, sanciones e intereses de mora</v>
      </c>
      <c r="E133" s="393">
        <f>+'ANALITICA PRESUPUESTO'!N63</f>
        <v>12000</v>
      </c>
      <c r="F133" s="227">
        <f t="shared" si="2"/>
        <v>2.3E-2</v>
      </c>
      <c r="G133" s="230">
        <f t="shared" si="3"/>
        <v>276</v>
      </c>
      <c r="H133" s="259" t="str">
        <f>IF('ANALITICA PRESUPUESTO'!R63="","",'ANALITICA PRESUPUESTO'!R63)</f>
        <v/>
      </c>
      <c r="I133" s="25"/>
      <c r="J133" s="25"/>
      <c r="K133" s="31"/>
      <c r="L133" s="33"/>
      <c r="M133" s="33"/>
      <c r="N133" s="34"/>
      <c r="O133" s="25"/>
      <c r="P133" s="33"/>
    </row>
    <row r="134" spans="2:16" ht="15" customHeight="1" x14ac:dyDescent="0.25">
      <c r="B134" s="487"/>
      <c r="C134" s="490"/>
      <c r="D134" s="137" t="str">
        <f>+'ANALITICA PRESUPUESTO'!B64</f>
        <v>SERVICIO DE LA DEUDA PÚBLICA</v>
      </c>
      <c r="E134" s="391">
        <f>+'ANALITICA PRESUPUESTO'!N64</f>
        <v>12001</v>
      </c>
      <c r="F134" s="226">
        <f t="shared" si="2"/>
        <v>2.3E-2</v>
      </c>
      <c r="G134" s="229">
        <f t="shared" si="3"/>
        <v>276.02299999999997</v>
      </c>
      <c r="H134" s="125" t="str">
        <f>IF('ANALITICA PRESUPUESTO'!R64="","",'ANALITICA PRESUPUESTO'!R64)</f>
        <v/>
      </c>
      <c r="I134" s="25"/>
      <c r="J134" s="25"/>
      <c r="K134" s="31"/>
      <c r="L134" s="33"/>
      <c r="M134" s="33"/>
      <c r="N134" s="34"/>
      <c r="O134" s="25"/>
      <c r="P134" s="33"/>
    </row>
    <row r="135" spans="2:16" ht="15" customHeight="1" x14ac:dyDescent="0.25">
      <c r="B135" s="487"/>
      <c r="C135" s="490"/>
      <c r="D135" s="350" t="str">
        <f>+'ANALITICA PRESUPUESTO'!B65</f>
        <v>Servicios de la deuda pública externa</v>
      </c>
      <c r="E135" s="393">
        <f>+'ANALITICA PRESUPUESTO'!N65</f>
        <v>12002</v>
      </c>
      <c r="F135" s="227">
        <f t="shared" si="2"/>
        <v>2.3E-2</v>
      </c>
      <c r="G135" s="230">
        <f t="shared" si="3"/>
        <v>276.04599999999999</v>
      </c>
      <c r="H135" s="259" t="str">
        <f>IF('ANALITICA PRESUPUESTO'!R65="","",'ANALITICA PRESUPUESTO'!R65)</f>
        <v/>
      </c>
      <c r="I135" s="25"/>
      <c r="J135" s="25"/>
      <c r="K135" s="31"/>
      <c r="L135" s="33"/>
      <c r="M135" s="33"/>
      <c r="N135" s="34"/>
      <c r="O135" s="25"/>
      <c r="P135" s="33"/>
    </row>
    <row r="136" spans="2:16" ht="15" customHeight="1" x14ac:dyDescent="0.25">
      <c r="B136" s="487"/>
      <c r="C136" s="490"/>
      <c r="D136" s="350" t="str">
        <f>+'ANALITICA PRESUPUESTO'!B66</f>
        <v>Principal</v>
      </c>
      <c r="E136" s="393">
        <f>+'ANALITICA PRESUPUESTO'!N66</f>
        <v>12003</v>
      </c>
      <c r="F136" s="227">
        <f t="shared" si="2"/>
        <v>2.3E-2</v>
      </c>
      <c r="G136" s="230">
        <f t="shared" si="3"/>
        <v>276.06900000000002</v>
      </c>
      <c r="H136" s="259" t="str">
        <f>IF('ANALITICA PRESUPUESTO'!R66="","",'ANALITICA PRESUPUESTO'!R66)</f>
        <v/>
      </c>
      <c r="I136" s="25"/>
      <c r="J136" s="25"/>
      <c r="K136" s="31"/>
      <c r="L136" s="33"/>
      <c r="M136" s="33"/>
      <c r="N136" s="34"/>
      <c r="O136" s="25"/>
      <c r="P136" s="33"/>
    </row>
    <row r="137" spans="2:16" ht="15" customHeight="1" x14ac:dyDescent="0.25">
      <c r="B137" s="487"/>
      <c r="C137" s="490"/>
      <c r="D137" s="350" t="str">
        <f>+'ANALITICA PRESUPUESTO'!B67</f>
        <v>Intereses</v>
      </c>
      <c r="E137" s="393">
        <f>+'ANALITICA PRESUPUESTO'!N67</f>
        <v>12004</v>
      </c>
      <c r="F137" s="227">
        <f t="shared" si="2"/>
        <v>2.3E-2</v>
      </c>
      <c r="G137" s="230">
        <f t="shared" si="3"/>
        <v>276.09199999999998</v>
      </c>
      <c r="H137" s="259" t="str">
        <f>IF('ANALITICA PRESUPUESTO'!R67="","",'ANALITICA PRESUPUESTO'!R67)</f>
        <v/>
      </c>
      <c r="I137" s="25"/>
      <c r="J137" s="25"/>
      <c r="K137" s="31"/>
      <c r="L137" s="33"/>
      <c r="M137" s="33"/>
      <c r="N137" s="34"/>
      <c r="O137" s="25"/>
      <c r="P137" s="33"/>
    </row>
    <row r="138" spans="2:16" ht="15" customHeight="1" x14ac:dyDescent="0.25">
      <c r="B138" s="487"/>
      <c r="C138" s="490"/>
      <c r="D138" s="350" t="str">
        <f>+'ANALITICA PRESUPUESTO'!B68</f>
        <v>Servicios de la deuda pública interna</v>
      </c>
      <c r="E138" s="393">
        <f>+'ANALITICA PRESUPUESTO'!N68</f>
        <v>12005</v>
      </c>
      <c r="F138" s="227">
        <f t="shared" si="2"/>
        <v>2.3E-2</v>
      </c>
      <c r="G138" s="230">
        <f t="shared" si="3"/>
        <v>276.11500000000001</v>
      </c>
      <c r="H138" s="259" t="str">
        <f>IF('ANALITICA PRESUPUESTO'!R68="","",'ANALITICA PRESUPUESTO'!R68)</f>
        <v/>
      </c>
      <c r="I138" s="25"/>
      <c r="J138" s="25"/>
      <c r="K138" s="31"/>
      <c r="L138" s="33"/>
      <c r="M138" s="33"/>
      <c r="N138" s="34"/>
      <c r="O138" s="25"/>
      <c r="P138" s="33"/>
    </row>
    <row r="139" spans="2:16" ht="15" customHeight="1" x14ac:dyDescent="0.25">
      <c r="B139" s="487"/>
      <c r="C139" s="490"/>
      <c r="D139" s="350" t="str">
        <f>+'ANALITICA PRESUPUESTO'!B69</f>
        <v>Principal</v>
      </c>
      <c r="E139" s="393">
        <f>+'ANALITICA PRESUPUESTO'!N69</f>
        <v>12006</v>
      </c>
      <c r="F139" s="227">
        <f t="shared" si="2"/>
        <v>2.3E-2</v>
      </c>
      <c r="G139" s="230">
        <f t="shared" si="3"/>
        <v>276.13799999999998</v>
      </c>
      <c r="H139" s="259" t="str">
        <f>IF('ANALITICA PRESUPUESTO'!R69="","",'ANALITICA PRESUPUESTO'!R69)</f>
        <v/>
      </c>
      <c r="I139" s="25"/>
      <c r="J139" s="25"/>
      <c r="K139" s="31"/>
      <c r="L139" s="33"/>
      <c r="M139" s="33"/>
      <c r="N139" s="34"/>
      <c r="O139" s="25"/>
      <c r="P139" s="33"/>
    </row>
    <row r="140" spans="2:16" ht="15" customHeight="1" x14ac:dyDescent="0.25">
      <c r="B140" s="487"/>
      <c r="C140" s="490"/>
      <c r="D140" s="350" t="str">
        <f>+'ANALITICA PRESUPUESTO'!B70</f>
        <v>Intereses</v>
      </c>
      <c r="E140" s="393">
        <f>+'ANALITICA PRESUPUESTO'!N70</f>
        <v>12007</v>
      </c>
      <c r="F140" s="227">
        <f t="shared" si="2"/>
        <v>2.3E-2</v>
      </c>
      <c r="G140" s="230">
        <f t="shared" si="3"/>
        <v>276.161</v>
      </c>
      <c r="H140" s="259" t="str">
        <f>IF('ANALITICA PRESUPUESTO'!R70="","",'ANALITICA PRESUPUESTO'!R70)</f>
        <v/>
      </c>
      <c r="I140" s="25"/>
      <c r="J140" s="25"/>
      <c r="K140" s="31"/>
      <c r="L140" s="33"/>
      <c r="M140" s="33"/>
      <c r="N140" s="34"/>
      <c r="O140" s="25"/>
      <c r="P140" s="33"/>
    </row>
    <row r="141" spans="2:16" ht="15" customHeight="1" x14ac:dyDescent="0.25">
      <c r="B141" s="487"/>
      <c r="C141" s="490"/>
      <c r="D141" s="350" t="str">
        <f>+'ANALITICA PRESUPUESTO'!B71</f>
        <v>Comisiones y otros GASTOS</v>
      </c>
      <c r="E141" s="393">
        <f>+'ANALITICA PRESUPUESTO'!N71</f>
        <v>12008</v>
      </c>
      <c r="F141" s="227">
        <f t="shared" si="2"/>
        <v>2.3E-2</v>
      </c>
      <c r="G141" s="230">
        <f t="shared" si="3"/>
        <v>276.18399999999997</v>
      </c>
      <c r="H141" s="259" t="str">
        <f>IF('ANALITICA PRESUPUESTO'!R71="","",'ANALITICA PRESUPUESTO'!R71)</f>
        <v/>
      </c>
      <c r="I141" s="25"/>
      <c r="J141" s="25"/>
      <c r="K141" s="31"/>
      <c r="L141" s="33"/>
      <c r="M141" s="33"/>
      <c r="N141" s="34"/>
      <c r="O141" s="25"/>
      <c r="P141" s="33"/>
    </row>
    <row r="142" spans="2:16" ht="15" customHeight="1" x14ac:dyDescent="0.25">
      <c r="B142" s="487"/>
      <c r="C142" s="490"/>
      <c r="D142" s="137" t="str">
        <f>+'ANALITICA PRESUPUESTO'!B72</f>
        <v>INVERSIÓN</v>
      </c>
      <c r="E142" s="391">
        <f>+'ANALITICA PRESUPUESTO'!N72</f>
        <v>12009</v>
      </c>
      <c r="F142" s="226">
        <f t="shared" si="2"/>
        <v>2.3E-2</v>
      </c>
      <c r="G142" s="229">
        <f t="shared" si="3"/>
        <v>276.20699999999999</v>
      </c>
      <c r="H142" s="125" t="str">
        <f>IF('ANALITICA PRESUPUESTO'!R72="","",'ANALITICA PRESUPUESTO'!R72)</f>
        <v/>
      </c>
      <c r="I142" s="25"/>
      <c r="J142" s="25"/>
      <c r="K142" s="31"/>
      <c r="L142" s="33"/>
      <c r="M142" s="33"/>
      <c r="N142" s="34"/>
      <c r="O142" s="25"/>
      <c r="P142" s="33"/>
    </row>
    <row r="143" spans="2:16" ht="15" customHeight="1" x14ac:dyDescent="0.25">
      <c r="B143" s="487"/>
      <c r="C143" s="490"/>
      <c r="D143" s="350" t="str">
        <f>+'ANALITICA PRESUPUESTO'!B73</f>
        <v>Directa</v>
      </c>
      <c r="E143" s="393">
        <f>+'ANALITICA PRESUPUESTO'!N73</f>
        <v>12010</v>
      </c>
      <c r="F143" s="227">
        <f t="shared" si="2"/>
        <v>2.3E-2</v>
      </c>
      <c r="G143" s="230">
        <f t="shared" si="3"/>
        <v>276.23</v>
      </c>
      <c r="H143" s="259" t="str">
        <f>IF('ANALITICA PRESUPUESTO'!R73="","",'ANALITICA PRESUPUESTO'!R73)</f>
        <v/>
      </c>
      <c r="I143" s="25"/>
      <c r="J143" s="25"/>
      <c r="K143" s="31"/>
      <c r="L143" s="33"/>
      <c r="M143" s="33"/>
      <c r="N143" s="34"/>
      <c r="O143" s="25"/>
      <c r="P143" s="33"/>
    </row>
    <row r="144" spans="2:16" ht="15" customHeight="1" x14ac:dyDescent="0.25">
      <c r="B144" s="487"/>
      <c r="C144" s="490"/>
      <c r="D144" s="350" t="str">
        <f>+'ANALITICA PRESUPUESTO'!B74</f>
        <v>Transferencias CORRIENTES</v>
      </c>
      <c r="E144" s="393">
        <f>+'ANALITICA PRESUPUESTO'!N74</f>
        <v>12011</v>
      </c>
      <c r="F144" s="227">
        <f t="shared" si="2"/>
        <v>2.3E-2</v>
      </c>
      <c r="G144" s="230">
        <f t="shared" si="3"/>
        <v>276.25299999999999</v>
      </c>
      <c r="H144" s="259" t="str">
        <f>IF('ANALITICA PRESUPUESTO'!R74="","",'ANALITICA PRESUPUESTO'!R74)</f>
        <v/>
      </c>
      <c r="I144" s="25"/>
      <c r="J144" s="25"/>
      <c r="K144" s="31"/>
      <c r="L144" s="33"/>
      <c r="M144" s="33"/>
      <c r="N144" s="34"/>
      <c r="O144" s="25"/>
      <c r="P144" s="33"/>
    </row>
    <row r="145" spans="2:16" ht="15" customHeight="1" x14ac:dyDescent="0.25">
      <c r="B145" s="487"/>
      <c r="C145" s="490"/>
      <c r="D145" s="350" t="str">
        <f>+'ANALITICA PRESUPUESTO'!B75</f>
        <v>Subvenciones</v>
      </c>
      <c r="E145" s="393">
        <f>+'ANALITICA PRESUPUESTO'!N75</f>
        <v>12012</v>
      </c>
      <c r="F145" s="227">
        <f t="shared" si="2"/>
        <v>2.3E-2</v>
      </c>
      <c r="G145" s="230">
        <f t="shared" si="3"/>
        <v>276.27600000000001</v>
      </c>
      <c r="H145" s="259" t="str">
        <f>IF('ANALITICA PRESUPUESTO'!R75="","",'ANALITICA PRESUPUESTO'!R75)</f>
        <v/>
      </c>
      <c r="I145" s="25"/>
      <c r="J145" s="25"/>
      <c r="K145" s="31"/>
      <c r="L145" s="33"/>
      <c r="M145" s="33"/>
      <c r="N145" s="34"/>
      <c r="O145" s="25"/>
      <c r="P145" s="33"/>
    </row>
    <row r="146" spans="2:16" ht="15" customHeight="1" x14ac:dyDescent="0.25">
      <c r="B146" s="487"/>
      <c r="C146" s="490"/>
      <c r="D146" s="350" t="str">
        <f>+'ANALITICA PRESUPUESTO'!B76</f>
        <v>A empresas diferentes de subvenciones</v>
      </c>
      <c r="E146" s="393">
        <f>+'ANALITICA PRESUPUESTO'!N76</f>
        <v>12013</v>
      </c>
      <c r="F146" s="227">
        <f t="shared" si="2"/>
        <v>2.3E-2</v>
      </c>
      <c r="G146" s="230">
        <f t="shared" si="3"/>
        <v>276.29899999999998</v>
      </c>
      <c r="H146" s="259" t="str">
        <f>IF('ANALITICA PRESUPUESTO'!R76="","",'ANALITICA PRESUPUESTO'!R76)</f>
        <v/>
      </c>
      <c r="I146" s="25"/>
      <c r="J146" s="25"/>
      <c r="K146" s="31"/>
      <c r="L146" s="33"/>
      <c r="M146" s="33"/>
      <c r="N146" s="34"/>
      <c r="O146" s="25"/>
      <c r="P146" s="33"/>
    </row>
    <row r="147" spans="2:16" ht="15" customHeight="1" x14ac:dyDescent="0.25">
      <c r="B147" s="487"/>
      <c r="C147" s="490"/>
      <c r="D147" s="350" t="str">
        <f>+'ANALITICA PRESUPUESTO'!B77</f>
        <v>A entidades del gobierno</v>
      </c>
      <c r="E147" s="393">
        <f>+'ANALITICA PRESUPUESTO'!N77</f>
        <v>12014</v>
      </c>
      <c r="F147" s="227">
        <f t="shared" si="2"/>
        <v>2.3E-2</v>
      </c>
      <c r="G147" s="230">
        <f t="shared" si="3"/>
        <v>276.322</v>
      </c>
      <c r="H147" s="259" t="str">
        <f>IF('ANALITICA PRESUPUESTO'!R77="","",'ANALITICA PRESUPUESTO'!R77)</f>
        <v/>
      </c>
      <c r="I147" s="25"/>
      <c r="J147" s="25"/>
      <c r="K147" s="31"/>
      <c r="L147" s="33"/>
      <c r="M147" s="33"/>
      <c r="N147" s="34"/>
      <c r="O147" s="25"/>
      <c r="P147" s="33"/>
    </row>
    <row r="148" spans="2:16" ht="15" customHeight="1" x14ac:dyDescent="0.25">
      <c r="B148" s="487"/>
      <c r="C148" s="490"/>
      <c r="D148" s="350" t="str">
        <f>+'ANALITICA PRESUPUESTO'!B78</f>
        <v>Prestaciones para cubrir riesgos sociales</v>
      </c>
      <c r="E148" s="393">
        <f>+'ANALITICA PRESUPUESTO'!N78</f>
        <v>12015</v>
      </c>
      <c r="F148" s="227">
        <f t="shared" si="2"/>
        <v>2.3E-2</v>
      </c>
      <c r="G148" s="230">
        <f t="shared" si="3"/>
        <v>276.34499999999997</v>
      </c>
      <c r="H148" s="259" t="str">
        <f>IF('ANALITICA PRESUPUESTO'!R78="","",'ANALITICA PRESUPUESTO'!R78)</f>
        <v/>
      </c>
      <c r="I148" s="25"/>
      <c r="J148" s="25"/>
      <c r="K148" s="31"/>
      <c r="L148" s="33"/>
      <c r="M148" s="33"/>
      <c r="N148" s="34"/>
      <c r="O148" s="25"/>
      <c r="P148" s="33"/>
    </row>
    <row r="149" spans="2:16" ht="15" customHeight="1" x14ac:dyDescent="0.25">
      <c r="B149" s="487"/>
      <c r="C149" s="490"/>
      <c r="D149" s="350" t="str">
        <f>+'ANALITICA PRESUPUESTO'!B79</f>
        <v>Sentencias y conciliaciones</v>
      </c>
      <c r="E149" s="393">
        <f>+'ANALITICA PRESUPUESTO'!N79</f>
        <v>12016</v>
      </c>
      <c r="F149" s="227">
        <f t="shared" si="2"/>
        <v>2.3E-2</v>
      </c>
      <c r="G149" s="230">
        <f t="shared" si="3"/>
        <v>276.36799999999999</v>
      </c>
      <c r="H149" s="259" t="str">
        <f>IF('ANALITICA PRESUPUESTO'!R79="","",'ANALITICA PRESUPUESTO'!R79)</f>
        <v/>
      </c>
      <c r="I149" s="25"/>
      <c r="J149" s="25"/>
      <c r="K149" s="31"/>
      <c r="L149" s="33"/>
      <c r="M149" s="33"/>
      <c r="N149" s="34"/>
      <c r="O149" s="25"/>
      <c r="P149" s="33"/>
    </row>
    <row r="150" spans="2:16" ht="15" customHeight="1" x14ac:dyDescent="0.25">
      <c r="B150" s="487"/>
      <c r="C150" s="490"/>
      <c r="D150" s="350" t="str">
        <f>+'ANALITICA PRESUPUESTO'!B80</f>
        <v>Transferencias para INVERSIÓN</v>
      </c>
      <c r="E150" s="393">
        <f>+'ANALITICA PRESUPUESTO'!N80</f>
        <v>12017</v>
      </c>
      <c r="F150" s="227">
        <f t="shared" si="2"/>
        <v>2.3E-2</v>
      </c>
      <c r="G150" s="230">
        <f t="shared" si="3"/>
        <v>276.39100000000002</v>
      </c>
      <c r="H150" s="259" t="str">
        <f>IF('ANALITICA PRESUPUESTO'!R80="","",'ANALITICA PRESUPUESTO'!R80)</f>
        <v/>
      </c>
      <c r="I150" s="25"/>
      <c r="J150" s="25"/>
      <c r="K150" s="31"/>
      <c r="L150" s="33"/>
      <c r="M150" s="33"/>
      <c r="N150" s="34"/>
      <c r="O150" s="25"/>
      <c r="P150" s="33"/>
    </row>
    <row r="151" spans="2:16" ht="15" customHeight="1" x14ac:dyDescent="0.25">
      <c r="B151" s="487"/>
      <c r="C151" s="490"/>
      <c r="D151" s="350" t="str">
        <f>+'ANALITICA PRESUPUESTO'!B81</f>
        <v>Transferencia Distrital</v>
      </c>
      <c r="E151" s="393">
        <f>+'ANALITICA PRESUPUESTO'!N81</f>
        <v>12018</v>
      </c>
      <c r="F151" s="227">
        <f t="shared" si="2"/>
        <v>2.3E-2</v>
      </c>
      <c r="G151" s="230">
        <f t="shared" si="3"/>
        <v>276.41399999999999</v>
      </c>
      <c r="H151" s="259" t="str">
        <f>IF('ANALITICA PRESUPUESTO'!R81="","",'ANALITICA PRESUPUESTO'!R81)</f>
        <v/>
      </c>
      <c r="I151" s="25"/>
      <c r="J151" s="25"/>
      <c r="K151" s="31"/>
      <c r="L151" s="33"/>
      <c r="M151" s="33"/>
      <c r="N151" s="34"/>
      <c r="O151" s="25"/>
      <c r="P151" s="33"/>
    </row>
    <row r="152" spans="2:16" ht="15" customHeight="1" x14ac:dyDescent="0.25">
      <c r="B152" s="487"/>
      <c r="C152" s="490"/>
      <c r="D152" s="137" t="str">
        <f>+'ANALITICA PRESUPUESTO'!B82</f>
        <v>DISPONIBILIDAD FINAL</v>
      </c>
      <c r="E152" s="391">
        <f>+'ANALITICA PRESUPUESTO'!N82</f>
        <v>12019</v>
      </c>
      <c r="F152" s="226">
        <f t="shared" si="2"/>
        <v>2.3E-2</v>
      </c>
      <c r="G152" s="229">
        <f t="shared" si="3"/>
        <v>276.43700000000001</v>
      </c>
      <c r="H152" s="125" t="str">
        <f>IF('ANALITICA PRESUPUESTO'!R82="","",'ANALITICA PRESUPUESTO'!R82)</f>
        <v/>
      </c>
      <c r="I152" s="25"/>
      <c r="J152" s="25"/>
      <c r="K152" s="31"/>
      <c r="L152" s="33"/>
      <c r="M152" s="33"/>
      <c r="N152" s="34"/>
      <c r="O152" s="25"/>
      <c r="P152" s="33"/>
    </row>
    <row r="153" spans="2:16" ht="12.75" customHeight="1" thickBot="1" x14ac:dyDescent="0.3">
      <c r="B153" s="488"/>
      <c r="C153" s="491"/>
      <c r="D153" s="396">
        <f>+'ANALITICA PRESUPUESTO'!B83</f>
        <v>0</v>
      </c>
      <c r="E153" s="397">
        <f>+'ANALITICA PRESUPUESTO'!N83</f>
        <v>12000</v>
      </c>
      <c r="F153" s="237">
        <f t="shared" si="2"/>
        <v>2.3E-2</v>
      </c>
      <c r="G153" s="238">
        <f t="shared" si="3"/>
        <v>276</v>
      </c>
      <c r="H153" s="260" t="str">
        <f>IF('ANALITICA PRESUPUESTO'!R83="","",'ANALITICA PRESUPUESTO'!R83)</f>
        <v/>
      </c>
      <c r="I153" s="25"/>
      <c r="J153" s="25"/>
      <c r="K153" s="31"/>
      <c r="L153" s="33"/>
      <c r="M153" s="33"/>
      <c r="N153" s="34"/>
      <c r="O153" s="25"/>
      <c r="P153" s="33"/>
    </row>
    <row r="154" spans="2:16" ht="12.75" customHeight="1" x14ac:dyDescent="0.25">
      <c r="B154" s="25"/>
      <c r="C154" s="34"/>
      <c r="D154" s="398"/>
      <c r="E154" s="25"/>
      <c r="F154" s="25"/>
      <c r="G154" s="33"/>
      <c r="H154" s="14"/>
      <c r="I154" s="25"/>
      <c r="J154" s="25"/>
      <c r="K154" s="31"/>
      <c r="L154" s="25"/>
      <c r="M154" s="25"/>
      <c r="N154" s="14"/>
      <c r="O154" s="14"/>
      <c r="P154" s="14"/>
    </row>
    <row r="155" spans="2:16" ht="12.75" customHeight="1" x14ac:dyDescent="0.25">
      <c r="B155" s="492" t="s">
        <v>687</v>
      </c>
      <c r="C155" s="492"/>
      <c r="D155" s="492"/>
      <c r="E155" s="492"/>
      <c r="F155" s="492"/>
      <c r="G155" s="492"/>
      <c r="H155" s="14"/>
      <c r="I155" s="25"/>
      <c r="J155" s="25"/>
      <c r="K155" s="31"/>
      <c r="L155" s="25"/>
      <c r="M155" s="25"/>
      <c r="N155" s="14"/>
      <c r="O155" s="14"/>
      <c r="P155" s="14"/>
    </row>
    <row r="156" spans="2:16" ht="12.75" customHeight="1" thickBot="1" x14ac:dyDescent="0.3">
      <c r="B156" s="126"/>
      <c r="C156" s="126"/>
      <c r="D156" s="126"/>
      <c r="E156" s="126"/>
      <c r="F156" s="126"/>
      <c r="G156" s="126"/>
      <c r="H156" s="14"/>
      <c r="I156" s="25"/>
      <c r="J156" s="25"/>
      <c r="K156" s="31"/>
      <c r="L156" s="25"/>
      <c r="M156" s="25"/>
      <c r="N156" s="14"/>
      <c r="O156" s="14"/>
      <c r="P156" s="14"/>
    </row>
    <row r="157" spans="2:16" ht="54.75" customHeight="1" thickBot="1" x14ac:dyDescent="0.3">
      <c r="B157" s="264" t="s">
        <v>27</v>
      </c>
      <c r="C157" s="265" t="s">
        <v>572</v>
      </c>
      <c r="D157" s="266" t="s">
        <v>446</v>
      </c>
      <c r="E157" s="267" t="s">
        <v>28</v>
      </c>
      <c r="F157" s="265" t="s">
        <v>29</v>
      </c>
      <c r="G157" s="265" t="s">
        <v>30</v>
      </c>
      <c r="H157" s="263" t="s">
        <v>323</v>
      </c>
      <c r="I157" s="25"/>
      <c r="J157" s="25"/>
      <c r="K157" s="31"/>
      <c r="L157" s="25"/>
      <c r="M157" s="25"/>
      <c r="N157" s="14"/>
      <c r="O157" s="14"/>
      <c r="P157" s="14"/>
    </row>
    <row r="158" spans="2:16" ht="12.75" customHeight="1" x14ac:dyDescent="0.25">
      <c r="B158" s="486">
        <f>IF(OR($C$40="No Aplica",$G$40="No Aplica"),"No Aplica",IF($B$76="UNIVERSO DE RESERVAS CONSTITUIDAS / OBLIGACIONES / CUENTAS POR PAGAR: Conformado por el total de estos compromisos a 31 de Diciembre de la vigencia a auditar",SUM($C$41:$G$41),IF($B$77="UNIVERSO DE RESERVAS CONSTITUIDAS / OBLIGACIONES / CUENTAS POR PAGAR: Conformado por el total de estos compromisos a 31 de Diciembre de la vigencia a auditar",SUM($C$41:$G$41),IF($B$78="UNIVERSO DE RESERVAS CONSTITUIDAS / OBLIGACIONES / CUENTAS POR PAGAR: Conformado por el total de estos compromisos a 31 de Diciembre de la vigencia a auditar",SUM($C$41:$G$41),"No Aplica"))))</f>
        <v>8</v>
      </c>
      <c r="C158" s="489" t="str">
        <f>IF(OR($C$40="No Aplica",$G$40="No Aplica"),"No Aplica",IF($C$40="No Hay",IF(AND($B$119&gt;=4,$B$119&lt;=7),$D$63,IF(AND($B$119&gt;=8,B158&lt;=11),$D$64,$D$65)),IF(AND($B$119&gt;=5,$B$119&lt;=9),$D$63,IF(AND($B$119&gt;=10,B158&lt;=14),$D$64,$D$65))))</f>
        <v>&gt;1,7% y &lt;=2,3%</v>
      </c>
      <c r="D158" s="399" t="str">
        <f>+'ANALITICA PRESUPUESTO'!B88</f>
        <v/>
      </c>
      <c r="E158" s="389">
        <f>+'ANALITICA PRESUPUESTO'!N88</f>
        <v>255555555</v>
      </c>
      <c r="F158" s="236">
        <f>VLOOKUP($C$158,$D$63:$E$65,2,FALSE)</f>
        <v>2.3E-2</v>
      </c>
      <c r="G158" s="228">
        <f>IF(OR($B$158="No Aplica",$C$158="No Aplica"),"No Aplica",IF(E158="","",E158*F158))</f>
        <v>5877777.7649999997</v>
      </c>
      <c r="H158" s="124" t="str">
        <f>IF('ANALITICA PRESUPUESTO'!R88="","",'ANALITICA PRESUPUESTO'!R88)</f>
        <v/>
      </c>
      <c r="I158" s="25"/>
      <c r="J158" s="25"/>
      <c r="K158" s="31"/>
      <c r="L158" s="25"/>
      <c r="M158" s="25"/>
      <c r="N158" s="14"/>
      <c r="O158" s="14"/>
      <c r="P158" s="14"/>
    </row>
    <row r="159" spans="2:16" ht="12.75" customHeight="1" x14ac:dyDescent="0.25">
      <c r="B159" s="487"/>
      <c r="C159" s="490"/>
      <c r="D159" s="354" t="str">
        <f>+'ANALITICA PRESUPUESTO'!B89</f>
        <v/>
      </c>
      <c r="E159" s="391">
        <f>+'ANALITICA PRESUPUESTO'!N89</f>
        <v>12000</v>
      </c>
      <c r="F159" s="226">
        <f t="shared" ref="F159:F165" si="4">VLOOKUP($C$158,$D$63:$E$65,2,FALSE)</f>
        <v>2.3E-2</v>
      </c>
      <c r="G159" s="229">
        <f t="shared" ref="G159:G165" si="5">IF(OR($B$158="No Aplica",$C$158="No Aplica"),"No Aplica",IF(E159="","",E159*F159))</f>
        <v>276</v>
      </c>
      <c r="H159" s="125" t="str">
        <f>IF('ANALITICA PRESUPUESTO'!R89="","",'ANALITICA PRESUPUESTO'!R89)</f>
        <v>SI</v>
      </c>
      <c r="I159" s="25"/>
      <c r="J159" s="25"/>
      <c r="K159" s="31"/>
      <c r="L159" s="25"/>
      <c r="M159" s="25"/>
      <c r="N159" s="14"/>
      <c r="O159" s="14"/>
      <c r="P159" s="14"/>
    </row>
    <row r="160" spans="2:16" ht="12.75" customHeight="1" x14ac:dyDescent="0.25">
      <c r="B160" s="487"/>
      <c r="C160" s="490"/>
      <c r="D160" s="354" t="str">
        <f>+'ANALITICA PRESUPUESTO'!B90</f>
        <v/>
      </c>
      <c r="E160" s="391">
        <f>+'ANALITICA PRESUPUESTO'!N90</f>
        <v>12000</v>
      </c>
      <c r="F160" s="226">
        <f t="shared" si="4"/>
        <v>2.3E-2</v>
      </c>
      <c r="G160" s="229">
        <f t="shared" si="5"/>
        <v>276</v>
      </c>
      <c r="H160" s="125" t="str">
        <f>IF('ANALITICA PRESUPUESTO'!R90="","",'ANALITICA PRESUPUESTO'!R90)</f>
        <v/>
      </c>
      <c r="I160" s="25"/>
      <c r="J160" s="25"/>
      <c r="K160" s="31"/>
      <c r="L160" s="25"/>
      <c r="M160" s="25"/>
      <c r="N160" s="14"/>
      <c r="O160" s="14"/>
      <c r="P160" s="14"/>
    </row>
    <row r="161" spans="1:16" ht="16.5" customHeight="1" x14ac:dyDescent="0.25">
      <c r="B161" s="487"/>
      <c r="C161" s="490"/>
      <c r="D161" s="354" t="str">
        <f>+'ANALITICA PRESUPUESTO'!B91</f>
        <v>RESERVAS PRESUPUESTALES CONSTITUIDAS</v>
      </c>
      <c r="E161" s="391">
        <f>+'ANALITICA PRESUPUESTO'!N91</f>
        <v>120000000</v>
      </c>
      <c r="F161" s="226">
        <f t="shared" si="4"/>
        <v>2.3E-2</v>
      </c>
      <c r="G161" s="229">
        <f t="shared" si="5"/>
        <v>2760000</v>
      </c>
      <c r="H161" s="125" t="str">
        <f>IF('ANALITICA PRESUPUESTO'!R91="","",'ANALITICA PRESUPUESTO'!R91)</f>
        <v/>
      </c>
      <c r="I161" s="25"/>
      <c r="J161" s="25"/>
      <c r="K161" s="31"/>
      <c r="L161" s="25"/>
      <c r="M161" s="25"/>
      <c r="N161" s="14"/>
      <c r="O161" s="14"/>
      <c r="P161" s="14"/>
    </row>
    <row r="162" spans="1:16" ht="18.75" customHeight="1" x14ac:dyDescent="0.25">
      <c r="B162" s="487"/>
      <c r="C162" s="490"/>
      <c r="D162" s="354" t="str">
        <f>+'ANALITICA PRESUPUESTO'!B92</f>
        <v>CUENTAS POR PAGAR en poder del Tesorero</v>
      </c>
      <c r="E162" s="391">
        <f>+'ANALITICA PRESUPUESTO'!N92</f>
        <v>120000000</v>
      </c>
      <c r="F162" s="226">
        <f t="shared" si="4"/>
        <v>2.3E-2</v>
      </c>
      <c r="G162" s="229">
        <f t="shared" si="5"/>
        <v>2760000</v>
      </c>
      <c r="H162" s="125" t="str">
        <f>IF('ANALITICA PRESUPUESTO'!R92="","",'ANALITICA PRESUPUESTO'!R92)</f>
        <v/>
      </c>
      <c r="I162" s="25"/>
      <c r="J162" s="25"/>
      <c r="K162" s="31"/>
      <c r="L162" s="25"/>
      <c r="M162" s="25"/>
      <c r="N162" s="14"/>
      <c r="O162" s="14"/>
      <c r="P162" s="14"/>
    </row>
    <row r="163" spans="1:16" ht="24" customHeight="1" x14ac:dyDescent="0.25">
      <c r="B163" s="487"/>
      <c r="C163" s="490"/>
      <c r="D163" s="354" t="str">
        <f>+'ANALITICA PRESUPUESTO'!B93</f>
        <v/>
      </c>
      <c r="E163" s="391">
        <f>+'ANALITICA PRESUPUESTO'!N93</f>
        <v>120000000</v>
      </c>
      <c r="F163" s="226">
        <f t="shared" si="4"/>
        <v>2.3E-2</v>
      </c>
      <c r="G163" s="229">
        <f t="shared" si="5"/>
        <v>2760000</v>
      </c>
      <c r="H163" s="125" t="str">
        <f>IF('ANALITICA PRESUPUESTO'!R93="","",'ANALITICA PRESUPUESTO'!R93)</f>
        <v/>
      </c>
      <c r="I163" s="25"/>
      <c r="J163" s="25"/>
      <c r="K163" s="31"/>
      <c r="L163" s="25"/>
      <c r="M163" s="25"/>
      <c r="N163" s="14"/>
      <c r="O163" s="14"/>
      <c r="P163" s="14"/>
    </row>
    <row r="164" spans="1:16" ht="12.75" customHeight="1" x14ac:dyDescent="0.25">
      <c r="B164" s="487"/>
      <c r="C164" s="490"/>
      <c r="D164" s="354" t="str">
        <f>+'ANALITICA PRESUPUESTO'!B94</f>
        <v>PASIVOS EXIGIBLES</v>
      </c>
      <c r="E164" s="391">
        <f>+'ANALITICA PRESUPUESTO'!N94</f>
        <v>120000000</v>
      </c>
      <c r="F164" s="226">
        <f t="shared" si="4"/>
        <v>2.3E-2</v>
      </c>
      <c r="G164" s="229">
        <f t="shared" si="5"/>
        <v>2760000</v>
      </c>
      <c r="H164" s="125" t="str">
        <f>IF('ANALITICA PRESUPUESTO'!R94="","",'ANALITICA PRESUPUESTO'!R94)</f>
        <v/>
      </c>
      <c r="I164" s="25"/>
      <c r="J164" s="25"/>
      <c r="K164" s="31"/>
      <c r="L164" s="25"/>
      <c r="M164" s="25"/>
      <c r="N164" s="14"/>
      <c r="O164" s="14"/>
      <c r="P164" s="14"/>
    </row>
    <row r="165" spans="1:16" ht="12.75" customHeight="1" x14ac:dyDescent="0.25">
      <c r="B165" s="487"/>
      <c r="C165" s="490"/>
      <c r="D165" s="354" t="str">
        <f>+'ANALITICA PRESUPUESTO'!B95</f>
        <v>VIGENCIAS FUTURAS</v>
      </c>
      <c r="E165" s="391"/>
      <c r="F165" s="226">
        <f t="shared" si="4"/>
        <v>2.3E-2</v>
      </c>
      <c r="G165" s="229" t="str">
        <f t="shared" si="5"/>
        <v/>
      </c>
      <c r="H165" s="125" t="str">
        <f>IF('ANALITICA PRESUPUESTO'!R95="","",'ANALITICA PRESUPUESTO'!R95)</f>
        <v/>
      </c>
      <c r="I165" s="25"/>
      <c r="J165" s="25"/>
      <c r="K165" s="31"/>
      <c r="L165" s="25"/>
      <c r="M165" s="25"/>
      <c r="N165" s="14"/>
      <c r="O165" s="14"/>
      <c r="P165" s="14"/>
    </row>
    <row r="166" spans="1:16" ht="12.75" customHeight="1" thickBot="1" x14ac:dyDescent="0.3">
      <c r="B166" s="488"/>
      <c r="C166" s="491"/>
      <c r="D166" s="400"/>
      <c r="E166" s="395"/>
      <c r="F166" s="261"/>
      <c r="G166" s="262"/>
      <c r="H166" s="268"/>
      <c r="I166" s="25"/>
      <c r="J166" s="25"/>
      <c r="K166" s="31"/>
      <c r="L166" s="25"/>
      <c r="M166" s="25"/>
      <c r="N166" s="14"/>
      <c r="O166" s="14"/>
      <c r="P166" s="14"/>
    </row>
    <row r="167" spans="1:16" s="25" customFormat="1" ht="12.75" customHeight="1" x14ac:dyDescent="0.25">
      <c r="A167" s="47"/>
      <c r="B167" s="498" t="s">
        <v>448</v>
      </c>
      <c r="C167" s="498"/>
      <c r="D167" s="498"/>
      <c r="E167" s="498"/>
      <c r="F167" s="498"/>
      <c r="G167" s="498"/>
      <c r="H167" s="37"/>
      <c r="I167" s="37"/>
      <c r="J167" s="364"/>
      <c r="K167" s="364"/>
      <c r="L167" s="364"/>
      <c r="M167" s="37"/>
      <c r="N167" s="15"/>
      <c r="O167" s="364"/>
      <c r="P167" s="36"/>
    </row>
    <row r="168" spans="1:16" s="25" customFormat="1" ht="24" customHeight="1" x14ac:dyDescent="0.25">
      <c r="A168" s="47"/>
      <c r="B168" s="498"/>
      <c r="C168" s="498"/>
      <c r="D168" s="498"/>
      <c r="E168" s="498"/>
      <c r="F168" s="498"/>
      <c r="G168" s="498"/>
      <c r="H168" s="37"/>
      <c r="I168" s="37"/>
      <c r="J168" s="364"/>
      <c r="K168" s="364"/>
      <c r="L168" s="364"/>
      <c r="M168" s="37"/>
      <c r="N168" s="15"/>
      <c r="O168" s="364"/>
      <c r="P168" s="36"/>
    </row>
    <row r="169" spans="1:16" s="25" customFormat="1" ht="66" customHeight="1" x14ac:dyDescent="0.25">
      <c r="A169" s="47"/>
      <c r="B169" s="498"/>
      <c r="C169" s="498"/>
      <c r="D169" s="498"/>
      <c r="E169" s="498"/>
      <c r="F169" s="498"/>
      <c r="G169" s="498"/>
      <c r="H169" s="37"/>
      <c r="I169" s="37"/>
      <c r="J169" s="364"/>
      <c r="K169" s="364"/>
      <c r="L169" s="364"/>
      <c r="M169" s="37"/>
      <c r="N169" s="15"/>
      <c r="O169" s="364"/>
      <c r="P169" s="36"/>
    </row>
    <row r="170" spans="1:16" s="25" customFormat="1" ht="12.75" customHeight="1" x14ac:dyDescent="0.25">
      <c r="A170" s="47"/>
      <c r="B170" s="47"/>
      <c r="C170" s="47"/>
      <c r="D170" s="47"/>
      <c r="E170" s="47"/>
      <c r="F170" s="47"/>
      <c r="G170" s="1"/>
      <c r="H170" s="37"/>
      <c r="I170" s="37"/>
      <c r="J170" s="364"/>
      <c r="K170" s="364"/>
      <c r="L170" s="364"/>
      <c r="M170" s="37"/>
      <c r="N170" s="15"/>
      <c r="O170" s="364"/>
      <c r="P170" s="36"/>
    </row>
    <row r="171" spans="1:16" s="25" customFormat="1" ht="12.75" customHeight="1" x14ac:dyDescent="0.25">
      <c r="A171" s="47"/>
      <c r="B171" s="47"/>
      <c r="C171" s="47"/>
      <c r="D171" s="47"/>
      <c r="E171" s="47"/>
      <c r="F171" s="47"/>
      <c r="G171" s="1"/>
      <c r="H171" s="37"/>
      <c r="I171" s="37"/>
      <c r="J171" s="364"/>
      <c r="K171" s="364"/>
      <c r="L171" s="364"/>
      <c r="M171" s="37"/>
      <c r="N171" s="15"/>
      <c r="O171" s="364"/>
      <c r="P171" s="36"/>
    </row>
    <row r="172" spans="1:16" s="25" customFormat="1" ht="30.75" customHeight="1" thickBot="1" x14ac:dyDescent="0.3">
      <c r="B172" s="3"/>
      <c r="C172" s="39"/>
      <c r="D172" s="3"/>
      <c r="E172" s="39"/>
      <c r="F172" s="540" t="s">
        <v>38</v>
      </c>
      <c r="G172" s="541"/>
      <c r="H172" s="541"/>
      <c r="I172" s="541"/>
      <c r="J172" s="541"/>
      <c r="K172" s="541"/>
      <c r="L172" s="542"/>
      <c r="M172" s="37"/>
      <c r="N172" s="15"/>
      <c r="O172" s="364"/>
      <c r="P172" s="36"/>
    </row>
    <row r="173" spans="1:16" s="25" customFormat="1" ht="54" customHeight="1" thickBot="1" x14ac:dyDescent="0.3">
      <c r="B173" s="543"/>
      <c r="C173" s="543"/>
      <c r="D173" s="543"/>
      <c r="E173" s="543"/>
      <c r="F173" s="544" t="s">
        <v>39</v>
      </c>
      <c r="G173" s="545"/>
      <c r="H173" s="545" t="s">
        <v>40</v>
      </c>
      <c r="I173" s="545"/>
      <c r="J173" s="545"/>
      <c r="K173" s="545"/>
      <c r="L173" s="296" t="s">
        <v>41</v>
      </c>
      <c r="M173" s="37"/>
      <c r="N173" s="15"/>
      <c r="O173" s="364"/>
      <c r="P173" s="36"/>
    </row>
    <row r="174" spans="1:16" s="25" customFormat="1" ht="31.5" customHeight="1" thickBot="1" x14ac:dyDescent="0.3">
      <c r="B174" s="366" t="s">
        <v>42</v>
      </c>
      <c r="C174" s="367" t="s">
        <v>43</v>
      </c>
      <c r="D174" s="297" t="s">
        <v>44</v>
      </c>
      <c r="E174" s="297" t="s">
        <v>45</v>
      </c>
      <c r="F174" s="545" t="s">
        <v>46</v>
      </c>
      <c r="G174" s="545"/>
      <c r="H174" s="546" t="s">
        <v>47</v>
      </c>
      <c r="I174" s="546"/>
      <c r="J174" s="546"/>
      <c r="K174" s="546"/>
      <c r="L174" s="298" t="s">
        <v>48</v>
      </c>
      <c r="M174" s="37"/>
      <c r="N174" s="15"/>
      <c r="O174" s="364"/>
      <c r="P174" s="36"/>
    </row>
    <row r="175" spans="1:16" s="25" customFormat="1" ht="34.5" customHeight="1" x14ac:dyDescent="0.25">
      <c r="B175" s="550" t="str">
        <f>$B$76</f>
        <v>UNIVERSO DE INGRESOS: Constituido por el total del presupuesto RECAUDADO, por todos los conceptos, obtenidos en la vigencia a auditar</v>
      </c>
      <c r="C175" s="552">
        <f>$E$76</f>
        <v>12000000000</v>
      </c>
      <c r="D175" s="307">
        <f>$F$85</f>
        <v>2.3E-2</v>
      </c>
      <c r="E175" s="291" t="s">
        <v>49</v>
      </c>
      <c r="F175" s="292" t="s">
        <v>50</v>
      </c>
      <c r="G175" s="293">
        <f>D175</f>
        <v>2.3E-2</v>
      </c>
      <c r="H175" s="294" t="s">
        <v>51</v>
      </c>
      <c r="I175" s="293">
        <f>D175</f>
        <v>2.3E-2</v>
      </c>
      <c r="J175" s="295" t="s">
        <v>52</v>
      </c>
      <c r="K175" s="309">
        <f>IFERROR($D175*5,"")</f>
        <v>0.11499999999999999</v>
      </c>
      <c r="L175" s="309">
        <f>IFERROR($D175*5,"")</f>
        <v>0.11499999999999999</v>
      </c>
      <c r="M175" s="37"/>
      <c r="N175" s="15"/>
      <c r="O175" s="364"/>
      <c r="P175" s="36"/>
    </row>
    <row r="176" spans="1:16" ht="42" customHeight="1" x14ac:dyDescent="0.25">
      <c r="B176" s="551"/>
      <c r="C176" s="553"/>
      <c r="D176" s="44">
        <f>IFERROR(C175*D175,"")</f>
        <v>276000000</v>
      </c>
      <c r="E176" s="40" t="s">
        <v>53</v>
      </c>
      <c r="F176" s="41" t="s">
        <v>50</v>
      </c>
      <c r="G176" s="45">
        <f>D176</f>
        <v>276000000</v>
      </c>
      <c r="H176" s="43" t="s">
        <v>51</v>
      </c>
      <c r="I176" s="45">
        <f>D176</f>
        <v>276000000</v>
      </c>
      <c r="J176" s="98" t="s">
        <v>52</v>
      </c>
      <c r="K176" s="310">
        <f>IFERROR($D176*5,"")</f>
        <v>1380000000</v>
      </c>
      <c r="L176" s="310">
        <f>IFERROR($D176*5,"")</f>
        <v>1380000000</v>
      </c>
      <c r="M176" s="37"/>
      <c r="N176" s="364"/>
      <c r="O176" s="364"/>
      <c r="P176" s="36"/>
    </row>
    <row r="177" spans="2:27" ht="13.5" customHeight="1" x14ac:dyDescent="0.25">
      <c r="B177" s="547"/>
      <c r="C177" s="547"/>
      <c r="D177" s="547"/>
      <c r="E177" s="547"/>
      <c r="F177" s="547"/>
      <c r="G177" s="547"/>
      <c r="H177" s="547"/>
      <c r="I177" s="547"/>
      <c r="J177" s="547"/>
      <c r="K177" s="547"/>
      <c r="L177" s="548"/>
      <c r="M177" s="31"/>
      <c r="N177" s="31"/>
      <c r="O177" s="31"/>
      <c r="P177" s="31"/>
      <c r="AA177" s="2" t="s">
        <v>23</v>
      </c>
    </row>
    <row r="178" spans="2:27" ht="37.5" customHeight="1" x14ac:dyDescent="0.25">
      <c r="B178" s="554" t="str">
        <f>$B$77</f>
        <v>UNIVERSO DE GASTOS: Conformado por el total del presupuesto COMPROMETIDO, por todos los conceptos, en la vigencia a auditar</v>
      </c>
      <c r="C178" s="555">
        <f>$E$77</f>
        <v>133000000000</v>
      </c>
      <c r="D178" s="308">
        <f>$F$119</f>
        <v>2.3E-2</v>
      </c>
      <c r="E178" s="40" t="s">
        <v>49</v>
      </c>
      <c r="F178" s="41" t="s">
        <v>50</v>
      </c>
      <c r="G178" s="42">
        <f>D178</f>
        <v>2.3E-2</v>
      </c>
      <c r="H178" s="43" t="s">
        <v>51</v>
      </c>
      <c r="I178" s="42">
        <f>D178</f>
        <v>2.3E-2</v>
      </c>
      <c r="J178" s="98" t="s">
        <v>52</v>
      </c>
      <c r="K178" s="311">
        <f>IFERROR(D178*5,"")</f>
        <v>0.11499999999999999</v>
      </c>
      <c r="L178" s="311">
        <f>IFERROR($D178*5,"")</f>
        <v>0.11499999999999999</v>
      </c>
      <c r="M178" s="31"/>
      <c r="N178" s="31"/>
      <c r="O178" s="31"/>
      <c r="P178" s="31"/>
      <c r="AA178" s="2" t="s">
        <v>24</v>
      </c>
    </row>
    <row r="179" spans="2:27" ht="33.75" customHeight="1" x14ac:dyDescent="0.25">
      <c r="B179" s="551"/>
      <c r="C179" s="553"/>
      <c r="D179" s="44">
        <f>IFERROR(C178*D178,"")</f>
        <v>3059000000</v>
      </c>
      <c r="E179" s="40" t="s">
        <v>53</v>
      </c>
      <c r="F179" s="41" t="s">
        <v>50</v>
      </c>
      <c r="G179" s="45">
        <f>D179</f>
        <v>3059000000</v>
      </c>
      <c r="H179" s="43" t="s">
        <v>51</v>
      </c>
      <c r="I179" s="45">
        <f>D179</f>
        <v>3059000000</v>
      </c>
      <c r="J179" s="98" t="s">
        <v>52</v>
      </c>
      <c r="K179" s="310">
        <f>IFERROR(D179*5,"")</f>
        <v>15295000000</v>
      </c>
      <c r="L179" s="310">
        <f>IFERROR($D179*5,"")</f>
        <v>15295000000</v>
      </c>
      <c r="M179" s="31"/>
      <c r="N179" s="31"/>
      <c r="O179" s="31"/>
      <c r="P179" s="31"/>
      <c r="AA179" s="2" t="s">
        <v>15</v>
      </c>
    </row>
    <row r="180" spans="2:27" ht="12.75" customHeight="1" x14ac:dyDescent="0.25">
      <c r="B180" s="549"/>
      <c r="C180" s="549"/>
      <c r="D180" s="549"/>
      <c r="E180" s="549"/>
      <c r="F180" s="549"/>
      <c r="G180" s="549"/>
      <c r="H180" s="549"/>
      <c r="I180" s="549"/>
      <c r="J180" s="549"/>
      <c r="K180" s="549"/>
      <c r="L180" s="549"/>
      <c r="M180" s="31"/>
      <c r="N180" s="31"/>
      <c r="O180" s="31"/>
      <c r="P180" s="31"/>
    </row>
    <row r="181" spans="2:27" ht="48.75" customHeight="1" x14ac:dyDescent="0.25">
      <c r="B181" s="554" t="str">
        <f>$B$78</f>
        <v>UNIVERSO DE RESERVAS CONSTITUIDAS / OBLIGACIONES / CUENTAS POR PAGAR: Conformado por el total de estos compromisos a 31 de Diciembre de la vigencia a auditar</v>
      </c>
      <c r="C181" s="555">
        <f>$E$78</f>
        <v>360012000</v>
      </c>
      <c r="D181" s="308">
        <f>$F$158</f>
        <v>2.3E-2</v>
      </c>
      <c r="E181" s="40" t="s">
        <v>49</v>
      </c>
      <c r="F181" s="41" t="s">
        <v>50</v>
      </c>
      <c r="G181" s="42">
        <f>D181</f>
        <v>2.3E-2</v>
      </c>
      <c r="H181" s="43" t="s">
        <v>51</v>
      </c>
      <c r="I181" s="42">
        <f>D181</f>
        <v>2.3E-2</v>
      </c>
      <c r="J181" s="98" t="s">
        <v>52</v>
      </c>
      <c r="K181" s="311">
        <f>IFERROR(D181*5,"")</f>
        <v>0.11499999999999999</v>
      </c>
      <c r="L181" s="311">
        <f>IFERROR($D181*5,"")</f>
        <v>0.11499999999999999</v>
      </c>
      <c r="M181" s="25"/>
      <c r="N181" s="25"/>
      <c r="O181" s="25"/>
      <c r="P181" s="25"/>
    </row>
    <row r="182" spans="2:27" ht="37.5" customHeight="1" x14ac:dyDescent="0.25">
      <c r="B182" s="551"/>
      <c r="C182" s="553"/>
      <c r="D182" s="44">
        <f>IFERROR(C181*D181,"")</f>
        <v>8280276</v>
      </c>
      <c r="E182" s="40" t="s">
        <v>53</v>
      </c>
      <c r="F182" s="41" t="s">
        <v>50</v>
      </c>
      <c r="G182" s="45">
        <f>D182</f>
        <v>8280276</v>
      </c>
      <c r="H182" s="43" t="s">
        <v>51</v>
      </c>
      <c r="I182" s="45">
        <f>D182</f>
        <v>8280276</v>
      </c>
      <c r="J182" s="98" t="s">
        <v>52</v>
      </c>
      <c r="K182" s="310">
        <f>IFERROR(D182*5,"")</f>
        <v>41401380</v>
      </c>
      <c r="L182" s="310">
        <f>IFERROR($D182*5,"")</f>
        <v>41401380</v>
      </c>
      <c r="M182" s="25"/>
      <c r="N182" s="25"/>
      <c r="O182" s="25"/>
      <c r="P182" s="25"/>
    </row>
    <row r="183" spans="2:27" ht="12.75" customHeight="1" x14ac:dyDescent="0.25">
      <c r="B183" s="26"/>
      <c r="C183" s="26"/>
      <c r="D183" s="26"/>
      <c r="E183" s="26"/>
      <c r="F183" s="26"/>
      <c r="G183" s="25"/>
      <c r="H183" s="25"/>
      <c r="I183" s="25"/>
      <c r="J183" s="25"/>
      <c r="K183" s="25"/>
      <c r="L183" s="25"/>
      <c r="M183" s="25"/>
      <c r="N183" s="25"/>
      <c r="O183" s="25"/>
      <c r="P183" s="25"/>
    </row>
    <row r="184" spans="2:27" ht="12.75" customHeight="1" x14ac:dyDescent="0.25">
      <c r="B184" s="25"/>
      <c r="C184" s="25"/>
      <c r="D184" s="25"/>
      <c r="E184" s="25"/>
      <c r="F184" s="25"/>
      <c r="G184" s="25"/>
      <c r="H184" s="25"/>
      <c r="I184" s="25"/>
      <c r="J184" s="25"/>
      <c r="K184" s="25"/>
      <c r="L184" s="25"/>
      <c r="M184" s="25"/>
      <c r="N184" s="25"/>
      <c r="O184" s="25"/>
      <c r="P184" s="25"/>
    </row>
    <row r="185" spans="2:27" ht="12.75" customHeight="1" x14ac:dyDescent="0.25">
      <c r="B185" s="25"/>
      <c r="C185" s="25"/>
      <c r="D185" s="25"/>
      <c r="E185" s="25"/>
      <c r="F185" s="25"/>
      <c r="G185" s="25"/>
      <c r="H185" s="25"/>
      <c r="I185" s="25"/>
      <c r="J185" s="25"/>
      <c r="K185" s="25"/>
      <c r="L185" s="25"/>
      <c r="M185" s="25"/>
      <c r="N185" s="25"/>
      <c r="O185" s="25"/>
      <c r="P185" s="25"/>
    </row>
    <row r="186" spans="2:27" ht="12.75" customHeight="1" thickBot="1" x14ac:dyDescent="0.3">
      <c r="B186" s="25"/>
      <c r="C186" s="25"/>
      <c r="D186" s="25"/>
      <c r="E186" s="25"/>
      <c r="F186" s="25"/>
      <c r="G186" s="299"/>
      <c r="H186" s="25"/>
      <c r="I186" s="25"/>
      <c r="J186" s="25"/>
      <c r="K186" s="25"/>
      <c r="L186" s="25"/>
      <c r="M186" s="25"/>
      <c r="N186" s="25"/>
      <c r="O186" s="25"/>
      <c r="P186" s="25"/>
    </row>
    <row r="187" spans="2:27" ht="116.25" customHeight="1" thickBot="1" x14ac:dyDescent="0.3">
      <c r="B187" s="300" t="s">
        <v>54</v>
      </c>
      <c r="C187" s="563"/>
      <c r="D187" s="564"/>
      <c r="E187" s="564"/>
      <c r="F187" s="564"/>
      <c r="G187" s="565"/>
      <c r="H187" s="25"/>
      <c r="I187" s="25"/>
      <c r="J187" s="25"/>
      <c r="K187" s="25"/>
      <c r="L187" s="25"/>
      <c r="M187" s="25"/>
      <c r="N187" s="25"/>
      <c r="O187" s="25"/>
      <c r="P187" s="25"/>
    </row>
    <row r="188" spans="2:27" ht="45" customHeight="1" thickBot="1" x14ac:dyDescent="0.3">
      <c r="B188" s="572" t="s">
        <v>793</v>
      </c>
      <c r="C188" s="573"/>
      <c r="D188" s="369"/>
      <c r="E188" s="566" t="s">
        <v>794</v>
      </c>
      <c r="F188" s="567"/>
      <c r="G188" s="401"/>
      <c r="H188" s="25"/>
      <c r="I188" s="25"/>
      <c r="J188" s="25"/>
      <c r="K188" s="25"/>
      <c r="L188" s="25"/>
      <c r="M188" s="25"/>
      <c r="N188" s="25"/>
      <c r="O188" s="25"/>
      <c r="P188" s="25"/>
    </row>
    <row r="189" spans="2:27" ht="26.25" customHeight="1" thickBot="1" x14ac:dyDescent="0.3">
      <c r="B189" s="568" t="s">
        <v>55</v>
      </c>
      <c r="C189" s="569"/>
      <c r="D189" s="569"/>
      <c r="E189" s="570"/>
      <c r="F189" s="569"/>
      <c r="G189" s="571"/>
      <c r="H189" s="25"/>
      <c r="I189" s="25"/>
      <c r="J189" s="25"/>
      <c r="K189" s="25"/>
      <c r="L189" s="25"/>
      <c r="M189" s="25"/>
      <c r="N189" s="25"/>
      <c r="O189" s="25"/>
      <c r="P189" s="25"/>
    </row>
    <row r="190" spans="2:27" ht="60" customHeight="1" thickBot="1" x14ac:dyDescent="0.3">
      <c r="B190" s="556" t="s">
        <v>790</v>
      </c>
      <c r="C190" s="557"/>
      <c r="D190" s="304" t="s">
        <v>56</v>
      </c>
      <c r="E190" s="305" t="s">
        <v>57</v>
      </c>
      <c r="F190" s="302"/>
      <c r="G190" s="368"/>
      <c r="H190" s="25"/>
      <c r="I190" s="25"/>
      <c r="J190" s="25"/>
      <c r="K190" s="25"/>
      <c r="L190" s="25"/>
      <c r="M190" s="25"/>
      <c r="N190" s="25"/>
      <c r="O190" s="25"/>
      <c r="P190" s="25"/>
    </row>
    <row r="191" spans="2:27" ht="45" customHeight="1" thickBot="1" x14ac:dyDescent="0.3">
      <c r="B191" s="558" t="s">
        <v>58</v>
      </c>
      <c r="C191" s="559"/>
      <c r="D191" s="559"/>
      <c r="E191" s="559"/>
      <c r="F191" s="560"/>
      <c r="G191" s="303" t="s">
        <v>791</v>
      </c>
      <c r="H191" s="25"/>
      <c r="I191" s="25"/>
      <c r="M191" s="25"/>
      <c r="N191" s="25"/>
      <c r="O191" s="25"/>
      <c r="P191" s="25"/>
    </row>
    <row r="192" spans="2:27" ht="75.75" customHeight="1" thickBot="1" x14ac:dyDescent="0.3">
      <c r="B192" s="561" t="s">
        <v>792</v>
      </c>
      <c r="C192" s="562"/>
      <c r="D192" s="301" t="s">
        <v>56</v>
      </c>
      <c r="E192" s="306" t="s">
        <v>57</v>
      </c>
      <c r="F192" s="370"/>
      <c r="G192" s="370"/>
      <c r="H192" s="25"/>
      <c r="I192" s="25"/>
    </row>
    <row r="193" spans="2:9" ht="12.75" customHeight="1" x14ac:dyDescent="0.25">
      <c r="B193" s="25"/>
      <c r="C193" s="25"/>
      <c r="D193" s="25"/>
      <c r="E193" s="25"/>
      <c r="F193" s="25"/>
      <c r="G193" s="25"/>
      <c r="H193" s="25"/>
      <c r="I193" s="25"/>
    </row>
    <row r="194" spans="2:9" ht="12.75" customHeight="1" x14ac:dyDescent="0.25">
      <c r="B194" s="25"/>
      <c r="C194" s="25"/>
      <c r="D194" s="25"/>
      <c r="E194" s="25"/>
      <c r="F194" s="25"/>
      <c r="G194" s="25"/>
      <c r="H194" s="25"/>
      <c r="I194" s="25"/>
    </row>
    <row r="195" spans="2:9" ht="12.75" customHeight="1" x14ac:dyDescent="0.25">
      <c r="B195" s="25"/>
      <c r="C195" s="25"/>
      <c r="D195" s="25"/>
      <c r="E195" s="25"/>
      <c r="F195" s="25"/>
      <c r="G195" s="25"/>
      <c r="H195" s="25"/>
      <c r="I195" s="25"/>
    </row>
    <row r="196" spans="2:9" ht="12.75" customHeight="1" x14ac:dyDescent="0.25">
      <c r="B196" s="25"/>
      <c r="C196" s="25"/>
      <c r="D196" s="25"/>
      <c r="E196" s="25"/>
      <c r="F196" s="25"/>
      <c r="G196" s="25"/>
      <c r="H196" s="25"/>
      <c r="I196" s="25"/>
    </row>
    <row r="197" spans="2:9" ht="12.75" customHeight="1" x14ac:dyDescent="0.25">
      <c r="B197" s="25"/>
      <c r="C197" s="25"/>
      <c r="D197" s="25"/>
      <c r="E197" s="25"/>
      <c r="F197" s="25"/>
      <c r="G197" s="25"/>
      <c r="H197" s="25"/>
      <c r="I197" s="25"/>
    </row>
    <row r="198" spans="2:9" ht="12.75" customHeight="1" x14ac:dyDescent="0.25">
      <c r="B198" s="25"/>
      <c r="C198" s="25"/>
      <c r="D198" s="25"/>
      <c r="E198" s="25"/>
      <c r="F198" s="25"/>
      <c r="G198" s="25"/>
      <c r="H198" s="25"/>
      <c r="I198" s="25"/>
    </row>
    <row r="199" spans="2:9" ht="12.75" customHeight="1" x14ac:dyDescent="0.25">
      <c r="B199" s="25"/>
      <c r="C199" s="25"/>
      <c r="D199" s="25"/>
      <c r="E199" s="25"/>
      <c r="F199" s="25"/>
      <c r="G199" s="25"/>
      <c r="H199" s="25"/>
      <c r="I199" s="25"/>
    </row>
    <row r="200" spans="2:9" ht="12.75" customHeight="1" x14ac:dyDescent="0.25">
      <c r="B200" s="25"/>
      <c r="C200" s="25"/>
      <c r="D200" s="25"/>
      <c r="E200" s="25"/>
      <c r="F200" s="25"/>
      <c r="G200" s="25"/>
      <c r="H200" s="25"/>
      <c r="I200" s="25"/>
    </row>
    <row r="201" spans="2:9" ht="12.75" customHeight="1" x14ac:dyDescent="0.25">
      <c r="B201" s="25"/>
      <c r="C201" s="25"/>
      <c r="D201" s="25"/>
      <c r="E201" s="25"/>
      <c r="F201" s="25"/>
      <c r="G201" s="25"/>
      <c r="H201" s="25"/>
      <c r="I201" s="25"/>
    </row>
    <row r="202" spans="2:9" ht="12.75" customHeight="1" x14ac:dyDescent="0.25">
      <c r="B202" s="25"/>
      <c r="C202" s="25"/>
      <c r="D202" s="25"/>
      <c r="E202" s="25"/>
      <c r="F202" s="25"/>
      <c r="G202" s="25"/>
      <c r="H202" s="25"/>
      <c r="I202" s="25"/>
    </row>
    <row r="203" spans="2:9" ht="12.75" customHeight="1" x14ac:dyDescent="0.25">
      <c r="B203" s="25"/>
      <c r="C203" s="25"/>
      <c r="D203" s="25"/>
      <c r="E203" s="25"/>
      <c r="F203" s="25"/>
      <c r="G203" s="25"/>
      <c r="H203" s="25"/>
      <c r="I203" s="25"/>
    </row>
    <row r="204" spans="2:9" ht="12.75" customHeight="1" x14ac:dyDescent="0.25">
      <c r="B204" s="25"/>
      <c r="C204" s="25"/>
      <c r="D204" s="25"/>
      <c r="E204" s="25"/>
      <c r="F204" s="25"/>
      <c r="G204" s="25"/>
      <c r="H204" s="25"/>
      <c r="I204" s="25"/>
    </row>
    <row r="205" spans="2:9" ht="12.75" customHeight="1" x14ac:dyDescent="0.25">
      <c r="B205" s="25"/>
      <c r="C205" s="25"/>
      <c r="D205" s="25"/>
      <c r="E205" s="25"/>
      <c r="F205" s="25"/>
      <c r="G205" s="25"/>
      <c r="H205" s="25"/>
      <c r="I205" s="25"/>
    </row>
    <row r="206" spans="2:9" ht="12.75" customHeight="1" x14ac:dyDescent="0.25">
      <c r="B206" s="25"/>
      <c r="C206" s="25"/>
      <c r="D206" s="25"/>
      <c r="E206" s="25"/>
      <c r="F206" s="25"/>
      <c r="G206" s="25"/>
    </row>
    <row r="207" spans="2:9" ht="12.75" customHeight="1" x14ac:dyDescent="0.25">
      <c r="B207" s="25"/>
      <c r="C207" s="25"/>
      <c r="D207" s="25"/>
      <c r="E207" s="25"/>
      <c r="F207" s="25"/>
    </row>
    <row r="245" spans="4:6" ht="12.75" customHeight="1" x14ac:dyDescent="0.25">
      <c r="D245" s="1" t="s">
        <v>125</v>
      </c>
      <c r="F245" s="1" t="s">
        <v>126</v>
      </c>
    </row>
    <row r="246" spans="4:6" ht="12.75" customHeight="1" x14ac:dyDescent="0.25">
      <c r="D246" s="1" t="s">
        <v>91</v>
      </c>
      <c r="F246" s="1" t="s">
        <v>127</v>
      </c>
    </row>
    <row r="247" spans="4:6" ht="12.75" customHeight="1" x14ac:dyDescent="0.25">
      <c r="D247" s="1" t="s">
        <v>92</v>
      </c>
      <c r="F247" s="1" t="s">
        <v>128</v>
      </c>
    </row>
    <row r="248" spans="4:6" ht="12.75" customHeight="1" x14ac:dyDescent="0.25">
      <c r="D248" s="1" t="s">
        <v>93</v>
      </c>
      <c r="F248" s="1" t="s">
        <v>129</v>
      </c>
    </row>
    <row r="249" spans="4:6" ht="12.75" customHeight="1" x14ac:dyDescent="0.25">
      <c r="D249" s="1" t="s">
        <v>94</v>
      </c>
      <c r="F249" s="1" t="s">
        <v>130</v>
      </c>
    </row>
    <row r="250" spans="4:6" ht="12.75" customHeight="1" x14ac:dyDescent="0.25">
      <c r="D250" s="1" t="s">
        <v>95</v>
      </c>
      <c r="F250" s="1" t="s">
        <v>131</v>
      </c>
    </row>
    <row r="251" spans="4:6" ht="12.75" customHeight="1" x14ac:dyDescent="0.25">
      <c r="D251" s="1" t="s">
        <v>96</v>
      </c>
      <c r="F251" s="1" t="s">
        <v>132</v>
      </c>
    </row>
    <row r="252" spans="4:6" ht="12.75" customHeight="1" x14ac:dyDescent="0.25">
      <c r="D252" s="1" t="s">
        <v>97</v>
      </c>
      <c r="F252" s="1" t="s">
        <v>133</v>
      </c>
    </row>
    <row r="253" spans="4:6" ht="12.75" customHeight="1" x14ac:dyDescent="0.25">
      <c r="D253" s="1" t="s">
        <v>98</v>
      </c>
      <c r="F253" s="1" t="s">
        <v>134</v>
      </c>
    </row>
    <row r="254" spans="4:6" ht="12.75" customHeight="1" x14ac:dyDescent="0.25">
      <c r="D254" s="1" t="s">
        <v>99</v>
      </c>
      <c r="F254" s="1" t="s">
        <v>135</v>
      </c>
    </row>
    <row r="255" spans="4:6" ht="12.75" customHeight="1" x14ac:dyDescent="0.25">
      <c r="D255" s="1" t="s">
        <v>100</v>
      </c>
      <c r="F255" s="1" t="s">
        <v>136</v>
      </c>
    </row>
    <row r="256" spans="4:6" ht="12.75" customHeight="1" x14ac:dyDescent="0.25">
      <c r="D256" s="1" t="s">
        <v>101</v>
      </c>
      <c r="F256" s="1" t="s">
        <v>137</v>
      </c>
    </row>
    <row r="257" spans="4:6" ht="12.75" customHeight="1" x14ac:dyDescent="0.25">
      <c r="D257" s="1" t="s">
        <v>102</v>
      </c>
      <c r="F257" s="1" t="s">
        <v>138</v>
      </c>
    </row>
    <row r="258" spans="4:6" ht="12.75" customHeight="1" x14ac:dyDescent="0.25">
      <c r="D258" s="1" t="s">
        <v>103</v>
      </c>
      <c r="F258" s="1" t="s">
        <v>139</v>
      </c>
    </row>
    <row r="259" spans="4:6" ht="12.75" customHeight="1" x14ac:dyDescent="0.25">
      <c r="D259" s="1" t="s">
        <v>104</v>
      </c>
      <c r="F259" s="1" t="s">
        <v>140</v>
      </c>
    </row>
    <row r="260" spans="4:6" ht="12.75" customHeight="1" x14ac:dyDescent="0.25">
      <c r="D260" s="1" t="s">
        <v>105</v>
      </c>
      <c r="F260" s="1" t="s">
        <v>141</v>
      </c>
    </row>
    <row r="261" spans="4:6" ht="12.75" customHeight="1" x14ac:dyDescent="0.25">
      <c r="D261" s="1" t="s">
        <v>106</v>
      </c>
      <c r="F261" s="1" t="s">
        <v>142</v>
      </c>
    </row>
    <row r="262" spans="4:6" ht="12.75" customHeight="1" x14ac:dyDescent="0.25">
      <c r="D262" s="1" t="s">
        <v>107</v>
      </c>
      <c r="F262" s="1" t="s">
        <v>143</v>
      </c>
    </row>
    <row r="263" spans="4:6" ht="12.75" customHeight="1" x14ac:dyDescent="0.25">
      <c r="D263" s="1" t="s">
        <v>108</v>
      </c>
      <c r="F263" s="1" t="s">
        <v>144</v>
      </c>
    </row>
    <row r="264" spans="4:6" ht="12.75" customHeight="1" x14ac:dyDescent="0.25">
      <c r="D264" s="1" t="s">
        <v>109</v>
      </c>
      <c r="F264" s="1" t="s">
        <v>145</v>
      </c>
    </row>
    <row r="265" spans="4:6" ht="12.75" customHeight="1" x14ac:dyDescent="0.25">
      <c r="D265" s="1" t="s">
        <v>110</v>
      </c>
      <c r="F265" s="1" t="s">
        <v>146</v>
      </c>
    </row>
    <row r="266" spans="4:6" ht="12.75" customHeight="1" x14ac:dyDescent="0.25">
      <c r="D266" s="1" t="s">
        <v>111</v>
      </c>
      <c r="F266" s="1" t="s">
        <v>147</v>
      </c>
    </row>
    <row r="267" spans="4:6" ht="12.75" customHeight="1" x14ac:dyDescent="0.25">
      <c r="D267" s="1" t="s">
        <v>112</v>
      </c>
      <c r="F267" s="1" t="s">
        <v>148</v>
      </c>
    </row>
    <row r="268" spans="4:6" ht="12.75" customHeight="1" x14ac:dyDescent="0.25">
      <c r="D268" s="1" t="s">
        <v>113</v>
      </c>
      <c r="F268" s="1" t="s">
        <v>149</v>
      </c>
    </row>
    <row r="269" spans="4:6" ht="12.75" customHeight="1" x14ac:dyDescent="0.25">
      <c r="D269" s="1" t="s">
        <v>114</v>
      </c>
      <c r="F269" s="1" t="s">
        <v>150</v>
      </c>
    </row>
    <row r="270" spans="4:6" ht="12.75" customHeight="1" x14ac:dyDescent="0.25">
      <c r="D270" s="1" t="s">
        <v>115</v>
      </c>
      <c r="F270" s="1" t="s">
        <v>151</v>
      </c>
    </row>
    <row r="271" spans="4:6" ht="12.75" customHeight="1" x14ac:dyDescent="0.25">
      <c r="D271" s="1" t="s">
        <v>116</v>
      </c>
      <c r="F271" s="1" t="s">
        <v>152</v>
      </c>
    </row>
    <row r="272" spans="4:6" ht="12.75" customHeight="1" x14ac:dyDescent="0.25">
      <c r="D272" s="1" t="s">
        <v>117</v>
      </c>
      <c r="F272" s="1" t="s">
        <v>153</v>
      </c>
    </row>
    <row r="273" spans="4:6" ht="12.75" customHeight="1" x14ac:dyDescent="0.25">
      <c r="D273" s="1" t="s">
        <v>118</v>
      </c>
      <c r="F273" s="1" t="s">
        <v>154</v>
      </c>
    </row>
    <row r="274" spans="4:6" ht="12.75" customHeight="1" x14ac:dyDescent="0.25">
      <c r="D274" s="1" t="s">
        <v>119</v>
      </c>
      <c r="F274" s="1" t="s">
        <v>155</v>
      </c>
    </row>
    <row r="275" spans="4:6" ht="12.75" customHeight="1" x14ac:dyDescent="0.25">
      <c r="D275" s="1" t="s">
        <v>120</v>
      </c>
      <c r="F275" s="1" t="s">
        <v>156</v>
      </c>
    </row>
    <row r="276" spans="4:6" ht="12.75" customHeight="1" x14ac:dyDescent="0.25">
      <c r="D276" s="1" t="s">
        <v>121</v>
      </c>
      <c r="F276" s="1" t="s">
        <v>157</v>
      </c>
    </row>
    <row r="277" spans="4:6" ht="12.75" customHeight="1" x14ac:dyDescent="0.25">
      <c r="D277" s="1" t="s">
        <v>122</v>
      </c>
      <c r="F277" s="1" t="s">
        <v>158</v>
      </c>
    </row>
    <row r="278" spans="4:6" ht="12.75" customHeight="1" x14ac:dyDescent="0.25">
      <c r="D278" s="1" t="s">
        <v>123</v>
      </c>
      <c r="F278" s="1" t="s">
        <v>159</v>
      </c>
    </row>
    <row r="279" spans="4:6" ht="12.75" customHeight="1" x14ac:dyDescent="0.25">
      <c r="D279" s="1" t="s">
        <v>124</v>
      </c>
      <c r="F279" s="1" t="s">
        <v>160</v>
      </c>
    </row>
    <row r="280" spans="4:6" ht="12.75" customHeight="1" x14ac:dyDescent="0.25">
      <c r="F280" s="1" t="s">
        <v>161</v>
      </c>
    </row>
    <row r="281" spans="4:6" ht="12.75" customHeight="1" x14ac:dyDescent="0.25">
      <c r="F281" s="1" t="s">
        <v>162</v>
      </c>
    </row>
    <row r="282" spans="4:6" ht="12.75" customHeight="1" x14ac:dyDescent="0.25">
      <c r="F282" s="1" t="s">
        <v>163</v>
      </c>
    </row>
    <row r="283" spans="4:6" ht="12.75" customHeight="1" x14ac:dyDescent="0.25">
      <c r="F283" s="1" t="s">
        <v>164</v>
      </c>
    </row>
    <row r="284" spans="4:6" ht="12.75" customHeight="1" x14ac:dyDescent="0.25">
      <c r="F284" s="1" t="s">
        <v>165</v>
      </c>
    </row>
    <row r="285" spans="4:6" ht="12.75" customHeight="1" x14ac:dyDescent="0.25">
      <c r="F285" s="1" t="s">
        <v>166</v>
      </c>
    </row>
    <row r="286" spans="4:6" ht="12.75" customHeight="1" x14ac:dyDescent="0.25">
      <c r="F286" s="1" t="s">
        <v>167</v>
      </c>
    </row>
    <row r="287" spans="4:6" ht="12.75" customHeight="1" x14ac:dyDescent="0.25">
      <c r="F287" s="1" t="s">
        <v>168</v>
      </c>
    </row>
    <row r="288" spans="4:6" ht="12.75" customHeight="1" x14ac:dyDescent="0.25">
      <c r="F288" s="1" t="s">
        <v>169</v>
      </c>
    </row>
    <row r="289" spans="6:6" ht="12.75" customHeight="1" x14ac:dyDescent="0.25">
      <c r="F289" s="1" t="s">
        <v>170</v>
      </c>
    </row>
    <row r="290" spans="6:6" ht="12.75" customHeight="1" x14ac:dyDescent="0.25">
      <c r="F290" s="1" t="s">
        <v>171</v>
      </c>
    </row>
    <row r="291" spans="6:6" ht="12.75" customHeight="1" x14ac:dyDescent="0.25">
      <c r="F291" s="1" t="s">
        <v>172</v>
      </c>
    </row>
    <row r="292" spans="6:6" ht="12.75" customHeight="1" x14ac:dyDescent="0.25">
      <c r="F292" s="1" t="s">
        <v>173</v>
      </c>
    </row>
    <row r="293" spans="6:6" ht="12.75" customHeight="1" x14ac:dyDescent="0.25">
      <c r="F293" s="1" t="s">
        <v>174</v>
      </c>
    </row>
    <row r="294" spans="6:6" ht="12.75" customHeight="1" x14ac:dyDescent="0.25">
      <c r="F294" s="1" t="s">
        <v>175</v>
      </c>
    </row>
    <row r="295" spans="6:6" ht="12.75" customHeight="1" x14ac:dyDescent="0.25">
      <c r="F295" s="1" t="s">
        <v>176</v>
      </c>
    </row>
    <row r="296" spans="6:6" ht="12.75" customHeight="1" x14ac:dyDescent="0.25">
      <c r="F296" s="1" t="s">
        <v>177</v>
      </c>
    </row>
    <row r="297" spans="6:6" ht="12.75" customHeight="1" x14ac:dyDescent="0.25">
      <c r="F297" s="1" t="s">
        <v>178</v>
      </c>
    </row>
    <row r="298" spans="6:6" ht="12.75" customHeight="1" x14ac:dyDescent="0.25">
      <c r="F298" s="1" t="s">
        <v>179</v>
      </c>
    </row>
    <row r="299" spans="6:6" ht="12.75" customHeight="1" x14ac:dyDescent="0.25">
      <c r="F299" s="1" t="s">
        <v>180</v>
      </c>
    </row>
    <row r="300" spans="6:6" ht="12.75" customHeight="1" x14ac:dyDescent="0.25">
      <c r="F300" s="1" t="s">
        <v>181</v>
      </c>
    </row>
    <row r="301" spans="6:6" ht="12.75" customHeight="1" x14ac:dyDescent="0.25">
      <c r="F301" s="1" t="s">
        <v>182</v>
      </c>
    </row>
    <row r="302" spans="6:6" ht="12.75" customHeight="1" x14ac:dyDescent="0.25">
      <c r="F302" s="1" t="s">
        <v>183</v>
      </c>
    </row>
    <row r="303" spans="6:6" ht="12.75" customHeight="1" x14ac:dyDescent="0.25">
      <c r="F303" s="1" t="s">
        <v>184</v>
      </c>
    </row>
    <row r="304" spans="6:6" ht="12.75" customHeight="1" x14ac:dyDescent="0.25">
      <c r="F304" s="1" t="s">
        <v>185</v>
      </c>
    </row>
    <row r="305" spans="6:6" ht="12.75" customHeight="1" x14ac:dyDescent="0.25">
      <c r="F305" s="1" t="s">
        <v>186</v>
      </c>
    </row>
    <row r="306" spans="6:6" ht="12.75" customHeight="1" x14ac:dyDescent="0.25">
      <c r="F306" s="1" t="s">
        <v>187</v>
      </c>
    </row>
    <row r="307" spans="6:6" ht="12.75" customHeight="1" x14ac:dyDescent="0.25">
      <c r="F307" s="1" t="s">
        <v>188</v>
      </c>
    </row>
    <row r="308" spans="6:6" ht="12.75" customHeight="1" x14ac:dyDescent="0.25">
      <c r="F308" s="1" t="s">
        <v>189</v>
      </c>
    </row>
    <row r="309" spans="6:6" ht="12.75" customHeight="1" x14ac:dyDescent="0.25">
      <c r="F309" s="1" t="s">
        <v>190</v>
      </c>
    </row>
    <row r="310" spans="6:6" ht="12.75" customHeight="1" x14ac:dyDescent="0.25">
      <c r="F310" s="1" t="s">
        <v>191</v>
      </c>
    </row>
    <row r="311" spans="6:6" ht="12.75" customHeight="1" x14ac:dyDescent="0.25">
      <c r="F311" s="1" t="s">
        <v>192</v>
      </c>
    </row>
    <row r="312" spans="6:6" ht="12.75" customHeight="1" x14ac:dyDescent="0.25">
      <c r="F312" s="1" t="s">
        <v>193</v>
      </c>
    </row>
    <row r="313" spans="6:6" ht="12.75" customHeight="1" x14ac:dyDescent="0.25">
      <c r="F313" s="1" t="s">
        <v>194</v>
      </c>
    </row>
    <row r="314" spans="6:6" ht="12.75" customHeight="1" x14ac:dyDescent="0.25">
      <c r="F314" s="1" t="s">
        <v>195</v>
      </c>
    </row>
    <row r="315" spans="6:6" ht="12.75" customHeight="1" x14ac:dyDescent="0.25">
      <c r="F315" s="1" t="s">
        <v>196</v>
      </c>
    </row>
    <row r="316" spans="6:6" ht="12.75" customHeight="1" x14ac:dyDescent="0.25">
      <c r="F316" s="1" t="s">
        <v>197</v>
      </c>
    </row>
    <row r="317" spans="6:6" ht="12.75" customHeight="1" x14ac:dyDescent="0.25">
      <c r="F317" s="1" t="s">
        <v>198</v>
      </c>
    </row>
    <row r="318" spans="6:6" ht="12.75" customHeight="1" x14ac:dyDescent="0.25">
      <c r="F318" s="1" t="s">
        <v>199</v>
      </c>
    </row>
    <row r="319" spans="6:6" ht="12.75" customHeight="1" x14ac:dyDescent="0.25">
      <c r="F319" s="1" t="s">
        <v>200</v>
      </c>
    </row>
    <row r="320" spans="6:6" ht="12.75" customHeight="1" x14ac:dyDescent="0.25">
      <c r="F320" s="1" t="s">
        <v>201</v>
      </c>
    </row>
    <row r="321" spans="6:6" ht="12.75" customHeight="1" x14ac:dyDescent="0.25">
      <c r="F321" s="1" t="s">
        <v>202</v>
      </c>
    </row>
    <row r="322" spans="6:6" ht="12.75" customHeight="1" x14ac:dyDescent="0.25">
      <c r="F322" s="1" t="s">
        <v>203</v>
      </c>
    </row>
    <row r="323" spans="6:6" ht="12.75" customHeight="1" x14ac:dyDescent="0.25">
      <c r="F323" s="1" t="s">
        <v>204</v>
      </c>
    </row>
    <row r="324" spans="6:6" ht="12.75" customHeight="1" x14ac:dyDescent="0.25">
      <c r="F324" s="1" t="s">
        <v>205</v>
      </c>
    </row>
    <row r="325" spans="6:6" ht="12.75" customHeight="1" x14ac:dyDescent="0.25">
      <c r="F325" s="1" t="s">
        <v>206</v>
      </c>
    </row>
    <row r="326" spans="6:6" ht="12.75" customHeight="1" x14ac:dyDescent="0.25">
      <c r="F326" s="1" t="s">
        <v>207</v>
      </c>
    </row>
    <row r="327" spans="6:6" ht="12.75" customHeight="1" x14ac:dyDescent="0.25">
      <c r="F327" s="1" t="s">
        <v>208</v>
      </c>
    </row>
    <row r="328" spans="6:6" ht="12.75" customHeight="1" x14ac:dyDescent="0.25">
      <c r="F328" s="1" t="s">
        <v>209</v>
      </c>
    </row>
    <row r="329" spans="6:6" ht="12.75" customHeight="1" x14ac:dyDescent="0.25">
      <c r="F329" s="1" t="s">
        <v>210</v>
      </c>
    </row>
    <row r="330" spans="6:6" ht="12.75" customHeight="1" x14ac:dyDescent="0.25">
      <c r="F330" s="1" t="s">
        <v>211</v>
      </c>
    </row>
    <row r="331" spans="6:6" ht="12.75" customHeight="1" x14ac:dyDescent="0.25">
      <c r="F331" s="1" t="s">
        <v>212</v>
      </c>
    </row>
    <row r="332" spans="6:6" ht="12.75" customHeight="1" x14ac:dyDescent="0.25">
      <c r="F332" s="1" t="s">
        <v>213</v>
      </c>
    </row>
    <row r="333" spans="6:6" ht="12.75" customHeight="1" x14ac:dyDescent="0.25">
      <c r="F333" s="1" t="s">
        <v>214</v>
      </c>
    </row>
    <row r="334" spans="6:6" ht="12.75" customHeight="1" x14ac:dyDescent="0.25">
      <c r="F334" s="1" t="s">
        <v>215</v>
      </c>
    </row>
    <row r="335" spans="6:6" ht="12.75" customHeight="1" x14ac:dyDescent="0.25">
      <c r="F335" s="1" t="s">
        <v>216</v>
      </c>
    </row>
    <row r="336" spans="6:6" ht="12.75" customHeight="1" x14ac:dyDescent="0.25">
      <c r="F336" s="1" t="s">
        <v>217</v>
      </c>
    </row>
    <row r="337" spans="6:6" ht="12.75" customHeight="1" x14ac:dyDescent="0.25">
      <c r="F337" s="1" t="s">
        <v>218</v>
      </c>
    </row>
    <row r="338" spans="6:6" ht="12.75" customHeight="1" x14ac:dyDescent="0.25">
      <c r="F338" s="1" t="s">
        <v>219</v>
      </c>
    </row>
    <row r="339" spans="6:6" ht="12.75" customHeight="1" x14ac:dyDescent="0.25">
      <c r="F339" s="1" t="s">
        <v>220</v>
      </c>
    </row>
    <row r="340" spans="6:6" ht="12.75" customHeight="1" x14ac:dyDescent="0.25">
      <c r="F340" s="1" t="s">
        <v>221</v>
      </c>
    </row>
  </sheetData>
  <mergeCells count="76">
    <mergeCell ref="B190:C190"/>
    <mergeCell ref="B191:F191"/>
    <mergeCell ref="B192:C192"/>
    <mergeCell ref="B181:B182"/>
    <mergeCell ref="C181:C182"/>
    <mergeCell ref="C187:G187"/>
    <mergeCell ref="E188:F188"/>
    <mergeCell ref="B189:G189"/>
    <mergeCell ref="B188:C188"/>
    <mergeCell ref="F174:G174"/>
    <mergeCell ref="H174:K174"/>
    <mergeCell ref="B177:L177"/>
    <mergeCell ref="B180:L180"/>
    <mergeCell ref="B175:B176"/>
    <mergeCell ref="C175:C176"/>
    <mergeCell ref="B178:B179"/>
    <mergeCell ref="C178:C179"/>
    <mergeCell ref="B33:I33"/>
    <mergeCell ref="F65:G65"/>
    <mergeCell ref="F172:L172"/>
    <mergeCell ref="B173:E173"/>
    <mergeCell ref="F173:G173"/>
    <mergeCell ref="H173:K173"/>
    <mergeCell ref="E75:F75"/>
    <mergeCell ref="E76:F76"/>
    <mergeCell ref="B44:K47"/>
    <mergeCell ref="B76:D76"/>
    <mergeCell ref="B75:D75"/>
    <mergeCell ref="B167:G169"/>
    <mergeCell ref="C35:F35"/>
    <mergeCell ref="B77:D77"/>
    <mergeCell ref="E77:F77"/>
    <mergeCell ref="B119:B153"/>
    <mergeCell ref="C119:C153"/>
    <mergeCell ref="B49:I49"/>
    <mergeCell ref="D51:F51"/>
    <mergeCell ref="D52:F54"/>
    <mergeCell ref="B56:F59"/>
    <mergeCell ref="B68:G68"/>
    <mergeCell ref="B71:G71"/>
    <mergeCell ref="B73:G73"/>
    <mergeCell ref="F63:G63"/>
    <mergeCell ref="F64:G64"/>
    <mergeCell ref="B155:G155"/>
    <mergeCell ref="A5:B6"/>
    <mergeCell ref="B85:B111"/>
    <mergeCell ref="C85:C111"/>
    <mergeCell ref="B17:H18"/>
    <mergeCell ref="B80:F80"/>
    <mergeCell ref="B81:G81"/>
    <mergeCell ref="B21:K21"/>
    <mergeCell ref="B23:K23"/>
    <mergeCell ref="G12:H12"/>
    <mergeCell ref="G13:H13"/>
    <mergeCell ref="B60:I60"/>
    <mergeCell ref="F62:G62"/>
    <mergeCell ref="A7:H7"/>
    <mergeCell ref="B24:I24"/>
    <mergeCell ref="J24:K24"/>
    <mergeCell ref="B82:G83"/>
    <mergeCell ref="J5:K6"/>
    <mergeCell ref="C5:I6"/>
    <mergeCell ref="B158:B166"/>
    <mergeCell ref="C158:C166"/>
    <mergeCell ref="B116:G116"/>
    <mergeCell ref="B78:D78"/>
    <mergeCell ref="E78:F78"/>
    <mergeCell ref="B112:G114"/>
    <mergeCell ref="C11:D11"/>
    <mergeCell ref="C12:D12"/>
    <mergeCell ref="C14:D14"/>
    <mergeCell ref="C13:D13"/>
    <mergeCell ref="A8:H8"/>
    <mergeCell ref="A9:H9"/>
    <mergeCell ref="A10:H10"/>
    <mergeCell ref="G14:H14"/>
  </mergeCells>
  <conditionalFormatting sqref="H16">
    <cfRule type="cellIs" dxfId="39" priority="48" operator="equal">
      <formula>"ERROR"</formula>
    </cfRule>
  </conditionalFormatting>
  <conditionalFormatting sqref="H16">
    <cfRule type="cellIs" dxfId="38" priority="44" operator="equal">
      <formula>"INEXISTENTE"</formula>
    </cfRule>
    <cfRule type="cellIs" dxfId="37" priority="45" operator="equal">
      <formula>"INADECUADO"</formula>
    </cfRule>
    <cfRule type="cellIs" dxfId="36" priority="46" operator="equal">
      <formula>"PARCIALMENTE ADECUADO"</formula>
    </cfRule>
    <cfRule type="cellIs" dxfId="35" priority="47" operator="equal">
      <formula>"ADECUADO"</formula>
    </cfRule>
  </conditionalFormatting>
  <conditionalFormatting sqref="C85:C111">
    <cfRule type="expression" dxfId="34" priority="13">
      <formula>$C$85=$D$65</formula>
    </cfRule>
    <cfRule type="expression" dxfId="33" priority="14">
      <formula>$C$85=$D$63</formula>
    </cfRule>
    <cfRule type="expression" dxfId="32" priority="15">
      <formula>$C$85=$D$64</formula>
    </cfRule>
  </conditionalFormatting>
  <conditionalFormatting sqref="C119">
    <cfRule type="expression" dxfId="31" priority="10">
      <formula>$C$85=$D$65</formula>
    </cfRule>
    <cfRule type="expression" dxfId="30" priority="11">
      <formula>$C$85=$D$63</formula>
    </cfRule>
    <cfRule type="expression" dxfId="29" priority="12">
      <formula>$C$85=$D$64</formula>
    </cfRule>
  </conditionalFormatting>
  <conditionalFormatting sqref="C158">
    <cfRule type="expression" dxfId="28" priority="1">
      <formula>$C$85=$D$65</formula>
    </cfRule>
    <cfRule type="expression" dxfId="27" priority="2">
      <formula>$C$85=$D$63</formula>
    </cfRule>
    <cfRule type="expression" dxfId="26" priority="3">
      <formula>$C$85=$D$64</formula>
    </cfRule>
  </conditionalFormatting>
  <dataValidations disablePrompts="1" count="15">
    <dataValidation type="list" allowBlank="1" showInputMessage="1" showErrorMessage="1" sqref="D65656:F65656 JB65654 SX65654 ACT65654 AMP65654 AWL65654 BGH65654 BQD65654 BZZ65654 CJV65654 CTR65654 DDN65654 DNJ65654 DXF65654 EHB65654 EQX65654 FAT65654 FKP65654 FUL65654 GEH65654 GOD65654 GXZ65654 HHV65654 HRR65654 IBN65654 ILJ65654 IVF65654 JFB65654 JOX65654 JYT65654 KIP65654 KSL65654 LCH65654 LMD65654 LVZ65654 MFV65654 MPR65654 MZN65654 NJJ65654 NTF65654 ODB65654 OMX65654 OWT65654 PGP65654 PQL65654 QAH65654 QKD65654 QTZ65654 RDV65654 RNR65654 RXN65654 SHJ65654 SRF65654 TBB65654 TKX65654 TUT65654 UEP65654 UOL65654 UYH65654 VID65654 VRZ65654 WBV65654 WLR65654 WVN65654 D131192:F131192 JB131190 SX131190 ACT131190 AMP131190 AWL131190 BGH131190 BQD131190 BZZ131190 CJV131190 CTR131190 DDN131190 DNJ131190 DXF131190 EHB131190 EQX131190 FAT131190 FKP131190 FUL131190 GEH131190 GOD131190 GXZ131190 HHV131190 HRR131190 IBN131190 ILJ131190 IVF131190 JFB131190 JOX131190 JYT131190 KIP131190 KSL131190 LCH131190 LMD131190 LVZ131190 MFV131190 MPR131190 MZN131190 NJJ131190 NTF131190 ODB131190 OMX131190 OWT131190 PGP131190 PQL131190 QAH131190 QKD131190 QTZ131190 RDV131190 RNR131190 RXN131190 SHJ131190 SRF131190 TBB131190 TKX131190 TUT131190 UEP131190 UOL131190 UYH131190 VID131190 VRZ131190 WBV131190 WLR131190 WVN131190 D196728:F196728 JB196726 SX196726 ACT196726 AMP196726 AWL196726 BGH196726 BQD196726 BZZ196726 CJV196726 CTR196726 DDN196726 DNJ196726 DXF196726 EHB196726 EQX196726 FAT196726 FKP196726 FUL196726 GEH196726 GOD196726 GXZ196726 HHV196726 HRR196726 IBN196726 ILJ196726 IVF196726 JFB196726 JOX196726 JYT196726 KIP196726 KSL196726 LCH196726 LMD196726 LVZ196726 MFV196726 MPR196726 MZN196726 NJJ196726 NTF196726 ODB196726 OMX196726 OWT196726 PGP196726 PQL196726 QAH196726 QKD196726 QTZ196726 RDV196726 RNR196726 RXN196726 SHJ196726 SRF196726 TBB196726 TKX196726 TUT196726 UEP196726 UOL196726 UYH196726 VID196726 VRZ196726 WBV196726 WLR196726 WVN196726 D262264:F262264 JB262262 SX262262 ACT262262 AMP262262 AWL262262 BGH262262 BQD262262 BZZ262262 CJV262262 CTR262262 DDN262262 DNJ262262 DXF262262 EHB262262 EQX262262 FAT262262 FKP262262 FUL262262 GEH262262 GOD262262 GXZ262262 HHV262262 HRR262262 IBN262262 ILJ262262 IVF262262 JFB262262 JOX262262 JYT262262 KIP262262 KSL262262 LCH262262 LMD262262 LVZ262262 MFV262262 MPR262262 MZN262262 NJJ262262 NTF262262 ODB262262 OMX262262 OWT262262 PGP262262 PQL262262 QAH262262 QKD262262 QTZ262262 RDV262262 RNR262262 RXN262262 SHJ262262 SRF262262 TBB262262 TKX262262 TUT262262 UEP262262 UOL262262 UYH262262 VID262262 VRZ262262 WBV262262 WLR262262 WVN262262 D327800:F327800 JB327798 SX327798 ACT327798 AMP327798 AWL327798 BGH327798 BQD327798 BZZ327798 CJV327798 CTR327798 DDN327798 DNJ327798 DXF327798 EHB327798 EQX327798 FAT327798 FKP327798 FUL327798 GEH327798 GOD327798 GXZ327798 HHV327798 HRR327798 IBN327798 ILJ327798 IVF327798 JFB327798 JOX327798 JYT327798 KIP327798 KSL327798 LCH327798 LMD327798 LVZ327798 MFV327798 MPR327798 MZN327798 NJJ327798 NTF327798 ODB327798 OMX327798 OWT327798 PGP327798 PQL327798 QAH327798 QKD327798 QTZ327798 RDV327798 RNR327798 RXN327798 SHJ327798 SRF327798 TBB327798 TKX327798 TUT327798 UEP327798 UOL327798 UYH327798 VID327798 VRZ327798 WBV327798 WLR327798 WVN327798 D393336:F393336 JB393334 SX393334 ACT393334 AMP393334 AWL393334 BGH393334 BQD393334 BZZ393334 CJV393334 CTR393334 DDN393334 DNJ393334 DXF393334 EHB393334 EQX393334 FAT393334 FKP393334 FUL393334 GEH393334 GOD393334 GXZ393334 HHV393334 HRR393334 IBN393334 ILJ393334 IVF393334 JFB393334 JOX393334 JYT393334 KIP393334 KSL393334 LCH393334 LMD393334 LVZ393334 MFV393334 MPR393334 MZN393334 NJJ393334 NTF393334 ODB393334 OMX393334 OWT393334 PGP393334 PQL393334 QAH393334 QKD393334 QTZ393334 RDV393334 RNR393334 RXN393334 SHJ393334 SRF393334 TBB393334 TKX393334 TUT393334 UEP393334 UOL393334 UYH393334 VID393334 VRZ393334 WBV393334 WLR393334 WVN393334 D458872:F458872 JB458870 SX458870 ACT458870 AMP458870 AWL458870 BGH458870 BQD458870 BZZ458870 CJV458870 CTR458870 DDN458870 DNJ458870 DXF458870 EHB458870 EQX458870 FAT458870 FKP458870 FUL458870 GEH458870 GOD458870 GXZ458870 HHV458870 HRR458870 IBN458870 ILJ458870 IVF458870 JFB458870 JOX458870 JYT458870 KIP458870 KSL458870 LCH458870 LMD458870 LVZ458870 MFV458870 MPR458870 MZN458870 NJJ458870 NTF458870 ODB458870 OMX458870 OWT458870 PGP458870 PQL458870 QAH458870 QKD458870 QTZ458870 RDV458870 RNR458870 RXN458870 SHJ458870 SRF458870 TBB458870 TKX458870 TUT458870 UEP458870 UOL458870 UYH458870 VID458870 VRZ458870 WBV458870 WLR458870 WVN458870 D524408:F524408 JB524406 SX524406 ACT524406 AMP524406 AWL524406 BGH524406 BQD524406 BZZ524406 CJV524406 CTR524406 DDN524406 DNJ524406 DXF524406 EHB524406 EQX524406 FAT524406 FKP524406 FUL524406 GEH524406 GOD524406 GXZ524406 HHV524406 HRR524406 IBN524406 ILJ524406 IVF524406 JFB524406 JOX524406 JYT524406 KIP524406 KSL524406 LCH524406 LMD524406 LVZ524406 MFV524406 MPR524406 MZN524406 NJJ524406 NTF524406 ODB524406 OMX524406 OWT524406 PGP524406 PQL524406 QAH524406 QKD524406 QTZ524406 RDV524406 RNR524406 RXN524406 SHJ524406 SRF524406 TBB524406 TKX524406 TUT524406 UEP524406 UOL524406 UYH524406 VID524406 VRZ524406 WBV524406 WLR524406 WVN524406 D589944:F589944 JB589942 SX589942 ACT589942 AMP589942 AWL589942 BGH589942 BQD589942 BZZ589942 CJV589942 CTR589942 DDN589942 DNJ589942 DXF589942 EHB589942 EQX589942 FAT589942 FKP589942 FUL589942 GEH589942 GOD589942 GXZ589942 HHV589942 HRR589942 IBN589942 ILJ589942 IVF589942 JFB589942 JOX589942 JYT589942 KIP589942 KSL589942 LCH589942 LMD589942 LVZ589942 MFV589942 MPR589942 MZN589942 NJJ589942 NTF589942 ODB589942 OMX589942 OWT589942 PGP589942 PQL589942 QAH589942 QKD589942 QTZ589942 RDV589942 RNR589942 RXN589942 SHJ589942 SRF589942 TBB589942 TKX589942 TUT589942 UEP589942 UOL589942 UYH589942 VID589942 VRZ589942 WBV589942 WLR589942 WVN589942 D655480:F655480 JB655478 SX655478 ACT655478 AMP655478 AWL655478 BGH655478 BQD655478 BZZ655478 CJV655478 CTR655478 DDN655478 DNJ655478 DXF655478 EHB655478 EQX655478 FAT655478 FKP655478 FUL655478 GEH655478 GOD655478 GXZ655478 HHV655478 HRR655478 IBN655478 ILJ655478 IVF655478 JFB655478 JOX655478 JYT655478 KIP655478 KSL655478 LCH655478 LMD655478 LVZ655478 MFV655478 MPR655478 MZN655478 NJJ655478 NTF655478 ODB655478 OMX655478 OWT655478 PGP655478 PQL655478 QAH655478 QKD655478 QTZ655478 RDV655478 RNR655478 RXN655478 SHJ655478 SRF655478 TBB655478 TKX655478 TUT655478 UEP655478 UOL655478 UYH655478 VID655478 VRZ655478 WBV655478 WLR655478 WVN655478 D721016:F721016 JB721014 SX721014 ACT721014 AMP721014 AWL721014 BGH721014 BQD721014 BZZ721014 CJV721014 CTR721014 DDN721014 DNJ721014 DXF721014 EHB721014 EQX721014 FAT721014 FKP721014 FUL721014 GEH721014 GOD721014 GXZ721014 HHV721014 HRR721014 IBN721014 ILJ721014 IVF721014 JFB721014 JOX721014 JYT721014 KIP721014 KSL721014 LCH721014 LMD721014 LVZ721014 MFV721014 MPR721014 MZN721014 NJJ721014 NTF721014 ODB721014 OMX721014 OWT721014 PGP721014 PQL721014 QAH721014 QKD721014 QTZ721014 RDV721014 RNR721014 RXN721014 SHJ721014 SRF721014 TBB721014 TKX721014 TUT721014 UEP721014 UOL721014 UYH721014 VID721014 VRZ721014 WBV721014 WLR721014 WVN721014 D786552:F786552 JB786550 SX786550 ACT786550 AMP786550 AWL786550 BGH786550 BQD786550 BZZ786550 CJV786550 CTR786550 DDN786550 DNJ786550 DXF786550 EHB786550 EQX786550 FAT786550 FKP786550 FUL786550 GEH786550 GOD786550 GXZ786550 HHV786550 HRR786550 IBN786550 ILJ786550 IVF786550 JFB786550 JOX786550 JYT786550 KIP786550 KSL786550 LCH786550 LMD786550 LVZ786550 MFV786550 MPR786550 MZN786550 NJJ786550 NTF786550 ODB786550 OMX786550 OWT786550 PGP786550 PQL786550 QAH786550 QKD786550 QTZ786550 RDV786550 RNR786550 RXN786550 SHJ786550 SRF786550 TBB786550 TKX786550 TUT786550 UEP786550 UOL786550 UYH786550 VID786550 VRZ786550 WBV786550 WLR786550 WVN786550 D852088:F852088 JB852086 SX852086 ACT852086 AMP852086 AWL852086 BGH852086 BQD852086 BZZ852086 CJV852086 CTR852086 DDN852086 DNJ852086 DXF852086 EHB852086 EQX852086 FAT852086 FKP852086 FUL852086 GEH852086 GOD852086 GXZ852086 HHV852086 HRR852086 IBN852086 ILJ852086 IVF852086 JFB852086 JOX852086 JYT852086 KIP852086 KSL852086 LCH852086 LMD852086 LVZ852086 MFV852086 MPR852086 MZN852086 NJJ852086 NTF852086 ODB852086 OMX852086 OWT852086 PGP852086 PQL852086 QAH852086 QKD852086 QTZ852086 RDV852086 RNR852086 RXN852086 SHJ852086 SRF852086 TBB852086 TKX852086 TUT852086 UEP852086 UOL852086 UYH852086 VID852086 VRZ852086 WBV852086 WLR852086 WVN852086 D917624:F917624 JB917622 SX917622 ACT917622 AMP917622 AWL917622 BGH917622 BQD917622 BZZ917622 CJV917622 CTR917622 DDN917622 DNJ917622 DXF917622 EHB917622 EQX917622 FAT917622 FKP917622 FUL917622 GEH917622 GOD917622 GXZ917622 HHV917622 HRR917622 IBN917622 ILJ917622 IVF917622 JFB917622 JOX917622 JYT917622 KIP917622 KSL917622 LCH917622 LMD917622 LVZ917622 MFV917622 MPR917622 MZN917622 NJJ917622 NTF917622 ODB917622 OMX917622 OWT917622 PGP917622 PQL917622 QAH917622 QKD917622 QTZ917622 RDV917622 RNR917622 RXN917622 SHJ917622 SRF917622 TBB917622 TKX917622 TUT917622 UEP917622 UOL917622 UYH917622 VID917622 VRZ917622 WBV917622 WLR917622 WVN917622 D983160:F983160 JB983158 SX983158 ACT983158 AMP983158 AWL983158 BGH983158 BQD983158 BZZ983158 CJV983158 CTR983158 DDN983158 DNJ983158 DXF983158 EHB983158 EQX983158 FAT983158 FKP983158 FUL983158 GEH983158 GOD983158 GXZ983158 HHV983158 HRR983158 IBN983158 ILJ983158 IVF983158 JFB983158 JOX983158 JYT983158 KIP983158 KSL983158 LCH983158 LMD983158 LVZ983158 MFV983158 MPR983158 MZN983158 NJJ983158 NTF983158 ODB983158 OMX983158 OWT983158 PGP983158 PQL983158 QAH983158 QKD983158 QTZ983158 RDV983158 RNR983158 RXN983158 SHJ983158 SRF983158 TBB983158 TKX983158 TUT983158 UEP983158 UOL983158 UYH983158 VID983158 VRZ983158 WBV983158 WLR983158 WVN983158 WBV81:WBV128 VRZ81:VRZ128 VID81:VID128 UYH81:UYH128 UOL81:UOL128 UEP81:UEP128 TUT81:TUT128 TKX81:TKX128 TBB81:TBB128 SRF81:SRF128 SHJ81:SHJ128 RXN81:RXN128 RNR81:RNR128 RDV81:RDV128 QTZ81:QTZ128 QKD81:QKD128 QAH81:QAH128 PQL81:PQL128 PGP81:PGP128 OWT81:OWT128 OMX81:OMX128 ODB81:ODB128 NTF81:NTF128 NJJ81:NJJ128 MZN81:MZN128 MPR81:MPR128 MFV81:MFV128 LVZ81:LVZ128 LMD81:LMD128 LCH81:LCH128 KSL81:KSL128 KIP81:KIP128 JYT81:JYT128 JOX81:JOX128 JFB81:JFB128 IVF81:IVF128 ILJ81:ILJ128 IBN81:IBN128 HRR81:HRR128 HHV81:HHV128 GXZ81:GXZ128 GOD81:GOD128 GEH81:GEH128 FUL81:FUL128 FKP81:FKP128 FAT81:FAT128 EQX81:EQX128 EHB81:EHB128 DXF81:DXF128 DNJ81:DNJ128 DDN81:DDN128 CTR81:CTR128 CJV81:CJV128 BZZ81:BZZ128 BQD81:BQD128 BGH81:BGH128 AWL81:AWL128 AMP81:AMP128 ACT81:ACT128 SX81:SX128 JB81:JB128 WLR81:WLR128 WVN81:WVN128">
      <formula1>$H$26:$H$27</formula1>
    </dataValidation>
    <dataValidation type="list" allowBlank="1" showInputMessage="1" showErrorMessage="1" sqref="C65656 JA65654 SW65654 ACS65654 AMO65654 AWK65654 BGG65654 BQC65654 BZY65654 CJU65654 CTQ65654 DDM65654 DNI65654 DXE65654 EHA65654 EQW65654 FAS65654 FKO65654 FUK65654 GEG65654 GOC65654 GXY65654 HHU65654 HRQ65654 IBM65654 ILI65654 IVE65654 JFA65654 JOW65654 JYS65654 KIO65654 KSK65654 LCG65654 LMC65654 LVY65654 MFU65654 MPQ65654 MZM65654 NJI65654 NTE65654 ODA65654 OMW65654 OWS65654 PGO65654 PQK65654 QAG65654 QKC65654 QTY65654 RDU65654 RNQ65654 RXM65654 SHI65654 SRE65654 TBA65654 TKW65654 TUS65654 UEO65654 UOK65654 UYG65654 VIC65654 VRY65654 WBU65654 WLQ65654 WVM65654 C131192 JA131190 SW131190 ACS131190 AMO131190 AWK131190 BGG131190 BQC131190 BZY131190 CJU131190 CTQ131190 DDM131190 DNI131190 DXE131190 EHA131190 EQW131190 FAS131190 FKO131190 FUK131190 GEG131190 GOC131190 GXY131190 HHU131190 HRQ131190 IBM131190 ILI131190 IVE131190 JFA131190 JOW131190 JYS131190 KIO131190 KSK131190 LCG131190 LMC131190 LVY131190 MFU131190 MPQ131190 MZM131190 NJI131190 NTE131190 ODA131190 OMW131190 OWS131190 PGO131190 PQK131190 QAG131190 QKC131190 QTY131190 RDU131190 RNQ131190 RXM131190 SHI131190 SRE131190 TBA131190 TKW131190 TUS131190 UEO131190 UOK131190 UYG131190 VIC131190 VRY131190 WBU131190 WLQ131190 WVM131190 C196728 JA196726 SW196726 ACS196726 AMO196726 AWK196726 BGG196726 BQC196726 BZY196726 CJU196726 CTQ196726 DDM196726 DNI196726 DXE196726 EHA196726 EQW196726 FAS196726 FKO196726 FUK196726 GEG196726 GOC196726 GXY196726 HHU196726 HRQ196726 IBM196726 ILI196726 IVE196726 JFA196726 JOW196726 JYS196726 KIO196726 KSK196726 LCG196726 LMC196726 LVY196726 MFU196726 MPQ196726 MZM196726 NJI196726 NTE196726 ODA196726 OMW196726 OWS196726 PGO196726 PQK196726 QAG196726 QKC196726 QTY196726 RDU196726 RNQ196726 RXM196726 SHI196726 SRE196726 TBA196726 TKW196726 TUS196726 UEO196726 UOK196726 UYG196726 VIC196726 VRY196726 WBU196726 WLQ196726 WVM196726 C262264 JA262262 SW262262 ACS262262 AMO262262 AWK262262 BGG262262 BQC262262 BZY262262 CJU262262 CTQ262262 DDM262262 DNI262262 DXE262262 EHA262262 EQW262262 FAS262262 FKO262262 FUK262262 GEG262262 GOC262262 GXY262262 HHU262262 HRQ262262 IBM262262 ILI262262 IVE262262 JFA262262 JOW262262 JYS262262 KIO262262 KSK262262 LCG262262 LMC262262 LVY262262 MFU262262 MPQ262262 MZM262262 NJI262262 NTE262262 ODA262262 OMW262262 OWS262262 PGO262262 PQK262262 QAG262262 QKC262262 QTY262262 RDU262262 RNQ262262 RXM262262 SHI262262 SRE262262 TBA262262 TKW262262 TUS262262 UEO262262 UOK262262 UYG262262 VIC262262 VRY262262 WBU262262 WLQ262262 WVM262262 C327800 JA327798 SW327798 ACS327798 AMO327798 AWK327798 BGG327798 BQC327798 BZY327798 CJU327798 CTQ327798 DDM327798 DNI327798 DXE327798 EHA327798 EQW327798 FAS327798 FKO327798 FUK327798 GEG327798 GOC327798 GXY327798 HHU327798 HRQ327798 IBM327798 ILI327798 IVE327798 JFA327798 JOW327798 JYS327798 KIO327798 KSK327798 LCG327798 LMC327798 LVY327798 MFU327798 MPQ327798 MZM327798 NJI327798 NTE327798 ODA327798 OMW327798 OWS327798 PGO327798 PQK327798 QAG327798 QKC327798 QTY327798 RDU327798 RNQ327798 RXM327798 SHI327798 SRE327798 TBA327798 TKW327798 TUS327798 UEO327798 UOK327798 UYG327798 VIC327798 VRY327798 WBU327798 WLQ327798 WVM327798 C393336 JA393334 SW393334 ACS393334 AMO393334 AWK393334 BGG393334 BQC393334 BZY393334 CJU393334 CTQ393334 DDM393334 DNI393334 DXE393334 EHA393334 EQW393334 FAS393334 FKO393334 FUK393334 GEG393334 GOC393334 GXY393334 HHU393334 HRQ393334 IBM393334 ILI393334 IVE393334 JFA393334 JOW393334 JYS393334 KIO393334 KSK393334 LCG393334 LMC393334 LVY393334 MFU393334 MPQ393334 MZM393334 NJI393334 NTE393334 ODA393334 OMW393334 OWS393334 PGO393334 PQK393334 QAG393334 QKC393334 QTY393334 RDU393334 RNQ393334 RXM393334 SHI393334 SRE393334 TBA393334 TKW393334 TUS393334 UEO393334 UOK393334 UYG393334 VIC393334 VRY393334 WBU393334 WLQ393334 WVM393334 C458872 JA458870 SW458870 ACS458870 AMO458870 AWK458870 BGG458870 BQC458870 BZY458870 CJU458870 CTQ458870 DDM458870 DNI458870 DXE458870 EHA458870 EQW458870 FAS458870 FKO458870 FUK458870 GEG458870 GOC458870 GXY458870 HHU458870 HRQ458870 IBM458870 ILI458870 IVE458870 JFA458870 JOW458870 JYS458870 KIO458870 KSK458870 LCG458870 LMC458870 LVY458870 MFU458870 MPQ458870 MZM458870 NJI458870 NTE458870 ODA458870 OMW458870 OWS458870 PGO458870 PQK458870 QAG458870 QKC458870 QTY458870 RDU458870 RNQ458870 RXM458870 SHI458870 SRE458870 TBA458870 TKW458870 TUS458870 UEO458870 UOK458870 UYG458870 VIC458870 VRY458870 WBU458870 WLQ458870 WVM458870 C524408 JA524406 SW524406 ACS524406 AMO524406 AWK524406 BGG524406 BQC524406 BZY524406 CJU524406 CTQ524406 DDM524406 DNI524406 DXE524406 EHA524406 EQW524406 FAS524406 FKO524406 FUK524406 GEG524406 GOC524406 GXY524406 HHU524406 HRQ524406 IBM524406 ILI524406 IVE524406 JFA524406 JOW524406 JYS524406 KIO524406 KSK524406 LCG524406 LMC524406 LVY524406 MFU524406 MPQ524406 MZM524406 NJI524406 NTE524406 ODA524406 OMW524406 OWS524406 PGO524406 PQK524406 QAG524406 QKC524406 QTY524406 RDU524406 RNQ524406 RXM524406 SHI524406 SRE524406 TBA524406 TKW524406 TUS524406 UEO524406 UOK524406 UYG524406 VIC524406 VRY524406 WBU524406 WLQ524406 WVM524406 C589944 JA589942 SW589942 ACS589942 AMO589942 AWK589942 BGG589942 BQC589942 BZY589942 CJU589942 CTQ589942 DDM589942 DNI589942 DXE589942 EHA589942 EQW589942 FAS589942 FKO589942 FUK589942 GEG589942 GOC589942 GXY589942 HHU589942 HRQ589942 IBM589942 ILI589942 IVE589942 JFA589942 JOW589942 JYS589942 KIO589942 KSK589942 LCG589942 LMC589942 LVY589942 MFU589942 MPQ589942 MZM589942 NJI589942 NTE589942 ODA589942 OMW589942 OWS589942 PGO589942 PQK589942 QAG589942 QKC589942 QTY589942 RDU589942 RNQ589942 RXM589942 SHI589942 SRE589942 TBA589942 TKW589942 TUS589942 UEO589942 UOK589942 UYG589942 VIC589942 VRY589942 WBU589942 WLQ589942 WVM589942 C655480 JA655478 SW655478 ACS655478 AMO655478 AWK655478 BGG655478 BQC655478 BZY655478 CJU655478 CTQ655478 DDM655478 DNI655478 DXE655478 EHA655478 EQW655478 FAS655478 FKO655478 FUK655478 GEG655478 GOC655478 GXY655478 HHU655478 HRQ655478 IBM655478 ILI655478 IVE655478 JFA655478 JOW655478 JYS655478 KIO655478 KSK655478 LCG655478 LMC655478 LVY655478 MFU655478 MPQ655478 MZM655478 NJI655478 NTE655478 ODA655478 OMW655478 OWS655478 PGO655478 PQK655478 QAG655478 QKC655478 QTY655478 RDU655478 RNQ655478 RXM655478 SHI655478 SRE655478 TBA655478 TKW655478 TUS655478 UEO655478 UOK655478 UYG655478 VIC655478 VRY655478 WBU655478 WLQ655478 WVM655478 C721016 JA721014 SW721014 ACS721014 AMO721014 AWK721014 BGG721014 BQC721014 BZY721014 CJU721014 CTQ721014 DDM721014 DNI721014 DXE721014 EHA721014 EQW721014 FAS721014 FKO721014 FUK721014 GEG721014 GOC721014 GXY721014 HHU721014 HRQ721014 IBM721014 ILI721014 IVE721014 JFA721014 JOW721014 JYS721014 KIO721014 KSK721014 LCG721014 LMC721014 LVY721014 MFU721014 MPQ721014 MZM721014 NJI721014 NTE721014 ODA721014 OMW721014 OWS721014 PGO721014 PQK721014 QAG721014 QKC721014 QTY721014 RDU721014 RNQ721014 RXM721014 SHI721014 SRE721014 TBA721014 TKW721014 TUS721014 UEO721014 UOK721014 UYG721014 VIC721014 VRY721014 WBU721014 WLQ721014 WVM721014 C786552 JA786550 SW786550 ACS786550 AMO786550 AWK786550 BGG786550 BQC786550 BZY786550 CJU786550 CTQ786550 DDM786550 DNI786550 DXE786550 EHA786550 EQW786550 FAS786550 FKO786550 FUK786550 GEG786550 GOC786550 GXY786550 HHU786550 HRQ786550 IBM786550 ILI786550 IVE786550 JFA786550 JOW786550 JYS786550 KIO786550 KSK786550 LCG786550 LMC786550 LVY786550 MFU786550 MPQ786550 MZM786550 NJI786550 NTE786550 ODA786550 OMW786550 OWS786550 PGO786550 PQK786550 QAG786550 QKC786550 QTY786550 RDU786550 RNQ786550 RXM786550 SHI786550 SRE786550 TBA786550 TKW786550 TUS786550 UEO786550 UOK786550 UYG786550 VIC786550 VRY786550 WBU786550 WLQ786550 WVM786550 C852088 JA852086 SW852086 ACS852086 AMO852086 AWK852086 BGG852086 BQC852086 BZY852086 CJU852086 CTQ852086 DDM852086 DNI852086 DXE852086 EHA852086 EQW852086 FAS852086 FKO852086 FUK852086 GEG852086 GOC852086 GXY852086 HHU852086 HRQ852086 IBM852086 ILI852086 IVE852086 JFA852086 JOW852086 JYS852086 KIO852086 KSK852086 LCG852086 LMC852086 LVY852086 MFU852086 MPQ852086 MZM852086 NJI852086 NTE852086 ODA852086 OMW852086 OWS852086 PGO852086 PQK852086 QAG852086 QKC852086 QTY852086 RDU852086 RNQ852086 RXM852086 SHI852086 SRE852086 TBA852086 TKW852086 TUS852086 UEO852086 UOK852086 UYG852086 VIC852086 VRY852086 WBU852086 WLQ852086 WVM852086 C917624 JA917622 SW917622 ACS917622 AMO917622 AWK917622 BGG917622 BQC917622 BZY917622 CJU917622 CTQ917622 DDM917622 DNI917622 DXE917622 EHA917622 EQW917622 FAS917622 FKO917622 FUK917622 GEG917622 GOC917622 GXY917622 HHU917622 HRQ917622 IBM917622 ILI917622 IVE917622 JFA917622 JOW917622 JYS917622 KIO917622 KSK917622 LCG917622 LMC917622 LVY917622 MFU917622 MPQ917622 MZM917622 NJI917622 NTE917622 ODA917622 OMW917622 OWS917622 PGO917622 PQK917622 QAG917622 QKC917622 QTY917622 RDU917622 RNQ917622 RXM917622 SHI917622 SRE917622 TBA917622 TKW917622 TUS917622 UEO917622 UOK917622 UYG917622 VIC917622 VRY917622 WBU917622 WLQ917622 WVM917622 C983160 JA983158 SW983158 ACS983158 AMO983158 AWK983158 BGG983158 BQC983158 BZY983158 CJU983158 CTQ983158 DDM983158 DNI983158 DXE983158 EHA983158 EQW983158 FAS983158 FKO983158 FUK983158 GEG983158 GOC983158 GXY983158 HHU983158 HRQ983158 IBM983158 ILI983158 IVE983158 JFA983158 JOW983158 JYS983158 KIO983158 KSK983158 LCG983158 LMC983158 LVY983158 MFU983158 MPQ983158 MZM983158 NJI983158 NTE983158 ODA983158 OMW983158 OWS983158 PGO983158 PQK983158 QAG983158 QKC983158 QTY983158 RDU983158 RNQ983158 RXM983158 SHI983158 SRE983158 TBA983158 TKW983158 TUS983158 UEO983158 UOK983158 UYG983158 VIC983158 VRY983158 WBU983158 WLQ983158 WVM983158 WVM81:WVM128 WLQ81:WLQ128 WBU81:WBU128 VRY81:VRY128 VIC81:VIC128 UYG81:UYG128 UOK81:UOK128 UEO81:UEO128 TUS81:TUS128 TKW81:TKW128 TBA81:TBA128 SRE81:SRE128 SHI81:SHI128 RXM81:RXM128 RNQ81:RNQ128 RDU81:RDU128 QTY81:QTY128 QKC81:QKC128 QAG81:QAG128 PQK81:PQK128 PGO81:PGO128 OWS81:OWS128 OMW81:OMW128 ODA81:ODA128 NTE81:NTE128 NJI81:NJI128 MZM81:MZM128 MPQ81:MPQ128 MFU81:MFU128 LVY81:LVY128 LMC81:LMC128 LCG81:LCG128 KSK81:KSK128 KIO81:KIO128 JYS81:JYS128 JOW81:JOW128 JFA81:JFA128 IVE81:IVE128 ILI81:ILI128 IBM81:IBM128 HRQ81:HRQ128 HHU81:HHU128 GXY81:GXY128 GOC81:GOC128 GEG81:GEG128 FUK81:FUK128 FKO81:FKO128 FAS81:FAS128 EQW81:EQW128 EHA81:EHA128 DXE81:DXE128 DNI81:DNI128 DDM81:DDM128 CTQ81:CTQ128 CJU81:CJU128 BZY81:BZY128 BQC81:BQC128 BGG81:BGG128 AWK81:AWK128 AMO81:AMO128 ACS81:ACS128 SW81:SW128 JA81:JA128">
      <formula1>$D$26:$D$28</formula1>
    </dataValidation>
    <dataValidation type="list" allowBlank="1" showInputMessage="1" showErrorMessage="1" sqref="WVL983158 B65656 IZ65654 SV65654 ACR65654 AMN65654 AWJ65654 BGF65654 BQB65654 BZX65654 CJT65654 CTP65654 DDL65654 DNH65654 DXD65654 EGZ65654 EQV65654 FAR65654 FKN65654 FUJ65654 GEF65654 GOB65654 GXX65654 HHT65654 HRP65654 IBL65654 ILH65654 IVD65654 JEZ65654 JOV65654 JYR65654 KIN65654 KSJ65654 LCF65654 LMB65654 LVX65654 MFT65654 MPP65654 MZL65654 NJH65654 NTD65654 OCZ65654 OMV65654 OWR65654 PGN65654 PQJ65654 QAF65654 QKB65654 QTX65654 RDT65654 RNP65654 RXL65654 SHH65654 SRD65654 TAZ65654 TKV65654 TUR65654 UEN65654 UOJ65654 UYF65654 VIB65654 VRX65654 WBT65654 WLP65654 WVL65654 B131192 IZ131190 SV131190 ACR131190 AMN131190 AWJ131190 BGF131190 BQB131190 BZX131190 CJT131190 CTP131190 DDL131190 DNH131190 DXD131190 EGZ131190 EQV131190 FAR131190 FKN131190 FUJ131190 GEF131190 GOB131190 GXX131190 HHT131190 HRP131190 IBL131190 ILH131190 IVD131190 JEZ131190 JOV131190 JYR131190 KIN131190 KSJ131190 LCF131190 LMB131190 LVX131190 MFT131190 MPP131190 MZL131190 NJH131190 NTD131190 OCZ131190 OMV131190 OWR131190 PGN131190 PQJ131190 QAF131190 QKB131190 QTX131190 RDT131190 RNP131190 RXL131190 SHH131190 SRD131190 TAZ131190 TKV131190 TUR131190 UEN131190 UOJ131190 UYF131190 VIB131190 VRX131190 WBT131190 WLP131190 WVL131190 B196728 IZ196726 SV196726 ACR196726 AMN196726 AWJ196726 BGF196726 BQB196726 BZX196726 CJT196726 CTP196726 DDL196726 DNH196726 DXD196726 EGZ196726 EQV196726 FAR196726 FKN196726 FUJ196726 GEF196726 GOB196726 GXX196726 HHT196726 HRP196726 IBL196726 ILH196726 IVD196726 JEZ196726 JOV196726 JYR196726 KIN196726 KSJ196726 LCF196726 LMB196726 LVX196726 MFT196726 MPP196726 MZL196726 NJH196726 NTD196726 OCZ196726 OMV196726 OWR196726 PGN196726 PQJ196726 QAF196726 QKB196726 QTX196726 RDT196726 RNP196726 RXL196726 SHH196726 SRD196726 TAZ196726 TKV196726 TUR196726 UEN196726 UOJ196726 UYF196726 VIB196726 VRX196726 WBT196726 WLP196726 WVL196726 B262264 IZ262262 SV262262 ACR262262 AMN262262 AWJ262262 BGF262262 BQB262262 BZX262262 CJT262262 CTP262262 DDL262262 DNH262262 DXD262262 EGZ262262 EQV262262 FAR262262 FKN262262 FUJ262262 GEF262262 GOB262262 GXX262262 HHT262262 HRP262262 IBL262262 ILH262262 IVD262262 JEZ262262 JOV262262 JYR262262 KIN262262 KSJ262262 LCF262262 LMB262262 LVX262262 MFT262262 MPP262262 MZL262262 NJH262262 NTD262262 OCZ262262 OMV262262 OWR262262 PGN262262 PQJ262262 QAF262262 QKB262262 QTX262262 RDT262262 RNP262262 RXL262262 SHH262262 SRD262262 TAZ262262 TKV262262 TUR262262 UEN262262 UOJ262262 UYF262262 VIB262262 VRX262262 WBT262262 WLP262262 WVL262262 B327800 IZ327798 SV327798 ACR327798 AMN327798 AWJ327798 BGF327798 BQB327798 BZX327798 CJT327798 CTP327798 DDL327798 DNH327798 DXD327798 EGZ327798 EQV327798 FAR327798 FKN327798 FUJ327798 GEF327798 GOB327798 GXX327798 HHT327798 HRP327798 IBL327798 ILH327798 IVD327798 JEZ327798 JOV327798 JYR327798 KIN327798 KSJ327798 LCF327798 LMB327798 LVX327798 MFT327798 MPP327798 MZL327798 NJH327798 NTD327798 OCZ327798 OMV327798 OWR327798 PGN327798 PQJ327798 QAF327798 QKB327798 QTX327798 RDT327798 RNP327798 RXL327798 SHH327798 SRD327798 TAZ327798 TKV327798 TUR327798 UEN327798 UOJ327798 UYF327798 VIB327798 VRX327798 WBT327798 WLP327798 WVL327798 B393336 IZ393334 SV393334 ACR393334 AMN393334 AWJ393334 BGF393334 BQB393334 BZX393334 CJT393334 CTP393334 DDL393334 DNH393334 DXD393334 EGZ393334 EQV393334 FAR393334 FKN393334 FUJ393334 GEF393334 GOB393334 GXX393334 HHT393334 HRP393334 IBL393334 ILH393334 IVD393334 JEZ393334 JOV393334 JYR393334 KIN393334 KSJ393334 LCF393334 LMB393334 LVX393334 MFT393334 MPP393334 MZL393334 NJH393334 NTD393334 OCZ393334 OMV393334 OWR393334 PGN393334 PQJ393334 QAF393334 QKB393334 QTX393334 RDT393334 RNP393334 RXL393334 SHH393334 SRD393334 TAZ393334 TKV393334 TUR393334 UEN393334 UOJ393334 UYF393334 VIB393334 VRX393334 WBT393334 WLP393334 WVL393334 B458872 IZ458870 SV458870 ACR458870 AMN458870 AWJ458870 BGF458870 BQB458870 BZX458870 CJT458870 CTP458870 DDL458870 DNH458870 DXD458870 EGZ458870 EQV458870 FAR458870 FKN458870 FUJ458870 GEF458870 GOB458870 GXX458870 HHT458870 HRP458870 IBL458870 ILH458870 IVD458870 JEZ458870 JOV458870 JYR458870 KIN458870 KSJ458870 LCF458870 LMB458870 LVX458870 MFT458870 MPP458870 MZL458870 NJH458870 NTD458870 OCZ458870 OMV458870 OWR458870 PGN458870 PQJ458870 QAF458870 QKB458870 QTX458870 RDT458870 RNP458870 RXL458870 SHH458870 SRD458870 TAZ458870 TKV458870 TUR458870 UEN458870 UOJ458870 UYF458870 VIB458870 VRX458870 WBT458870 WLP458870 WVL458870 B524408 IZ524406 SV524406 ACR524406 AMN524406 AWJ524406 BGF524406 BQB524406 BZX524406 CJT524406 CTP524406 DDL524406 DNH524406 DXD524406 EGZ524406 EQV524406 FAR524406 FKN524406 FUJ524406 GEF524406 GOB524406 GXX524406 HHT524406 HRP524406 IBL524406 ILH524406 IVD524406 JEZ524406 JOV524406 JYR524406 KIN524406 KSJ524406 LCF524406 LMB524406 LVX524406 MFT524406 MPP524406 MZL524406 NJH524406 NTD524406 OCZ524406 OMV524406 OWR524406 PGN524406 PQJ524406 QAF524406 QKB524406 QTX524406 RDT524406 RNP524406 RXL524406 SHH524406 SRD524406 TAZ524406 TKV524406 TUR524406 UEN524406 UOJ524406 UYF524406 VIB524406 VRX524406 WBT524406 WLP524406 WVL524406 B589944 IZ589942 SV589942 ACR589942 AMN589942 AWJ589942 BGF589942 BQB589942 BZX589942 CJT589942 CTP589942 DDL589942 DNH589942 DXD589942 EGZ589942 EQV589942 FAR589942 FKN589942 FUJ589942 GEF589942 GOB589942 GXX589942 HHT589942 HRP589942 IBL589942 ILH589942 IVD589942 JEZ589942 JOV589942 JYR589942 KIN589942 KSJ589942 LCF589942 LMB589942 LVX589942 MFT589942 MPP589942 MZL589942 NJH589942 NTD589942 OCZ589942 OMV589942 OWR589942 PGN589942 PQJ589942 QAF589942 QKB589942 QTX589942 RDT589942 RNP589942 RXL589942 SHH589942 SRD589942 TAZ589942 TKV589942 TUR589942 UEN589942 UOJ589942 UYF589942 VIB589942 VRX589942 WBT589942 WLP589942 WVL589942 B655480 IZ655478 SV655478 ACR655478 AMN655478 AWJ655478 BGF655478 BQB655478 BZX655478 CJT655478 CTP655478 DDL655478 DNH655478 DXD655478 EGZ655478 EQV655478 FAR655478 FKN655478 FUJ655478 GEF655478 GOB655478 GXX655478 HHT655478 HRP655478 IBL655478 ILH655478 IVD655478 JEZ655478 JOV655478 JYR655478 KIN655478 KSJ655478 LCF655478 LMB655478 LVX655478 MFT655478 MPP655478 MZL655478 NJH655478 NTD655478 OCZ655478 OMV655478 OWR655478 PGN655478 PQJ655478 QAF655478 QKB655478 QTX655478 RDT655478 RNP655478 RXL655478 SHH655478 SRD655478 TAZ655478 TKV655478 TUR655478 UEN655478 UOJ655478 UYF655478 VIB655478 VRX655478 WBT655478 WLP655478 WVL655478 B721016 IZ721014 SV721014 ACR721014 AMN721014 AWJ721014 BGF721014 BQB721014 BZX721014 CJT721014 CTP721014 DDL721014 DNH721014 DXD721014 EGZ721014 EQV721014 FAR721014 FKN721014 FUJ721014 GEF721014 GOB721014 GXX721014 HHT721014 HRP721014 IBL721014 ILH721014 IVD721014 JEZ721014 JOV721014 JYR721014 KIN721014 KSJ721014 LCF721014 LMB721014 LVX721014 MFT721014 MPP721014 MZL721014 NJH721014 NTD721014 OCZ721014 OMV721014 OWR721014 PGN721014 PQJ721014 QAF721014 QKB721014 QTX721014 RDT721014 RNP721014 RXL721014 SHH721014 SRD721014 TAZ721014 TKV721014 TUR721014 UEN721014 UOJ721014 UYF721014 VIB721014 VRX721014 WBT721014 WLP721014 WVL721014 B786552 IZ786550 SV786550 ACR786550 AMN786550 AWJ786550 BGF786550 BQB786550 BZX786550 CJT786550 CTP786550 DDL786550 DNH786550 DXD786550 EGZ786550 EQV786550 FAR786550 FKN786550 FUJ786550 GEF786550 GOB786550 GXX786550 HHT786550 HRP786550 IBL786550 ILH786550 IVD786550 JEZ786550 JOV786550 JYR786550 KIN786550 KSJ786550 LCF786550 LMB786550 LVX786550 MFT786550 MPP786550 MZL786550 NJH786550 NTD786550 OCZ786550 OMV786550 OWR786550 PGN786550 PQJ786550 QAF786550 QKB786550 QTX786550 RDT786550 RNP786550 RXL786550 SHH786550 SRD786550 TAZ786550 TKV786550 TUR786550 UEN786550 UOJ786550 UYF786550 VIB786550 VRX786550 WBT786550 WLP786550 WVL786550 B852088 IZ852086 SV852086 ACR852086 AMN852086 AWJ852086 BGF852086 BQB852086 BZX852086 CJT852086 CTP852086 DDL852086 DNH852086 DXD852086 EGZ852086 EQV852086 FAR852086 FKN852086 FUJ852086 GEF852086 GOB852086 GXX852086 HHT852086 HRP852086 IBL852086 ILH852086 IVD852086 JEZ852086 JOV852086 JYR852086 KIN852086 KSJ852086 LCF852086 LMB852086 LVX852086 MFT852086 MPP852086 MZL852086 NJH852086 NTD852086 OCZ852086 OMV852086 OWR852086 PGN852086 PQJ852086 QAF852086 QKB852086 QTX852086 RDT852086 RNP852086 RXL852086 SHH852086 SRD852086 TAZ852086 TKV852086 TUR852086 UEN852086 UOJ852086 UYF852086 VIB852086 VRX852086 WBT852086 WLP852086 WVL852086 B917624 IZ917622 SV917622 ACR917622 AMN917622 AWJ917622 BGF917622 BQB917622 BZX917622 CJT917622 CTP917622 DDL917622 DNH917622 DXD917622 EGZ917622 EQV917622 FAR917622 FKN917622 FUJ917622 GEF917622 GOB917622 GXX917622 HHT917622 HRP917622 IBL917622 ILH917622 IVD917622 JEZ917622 JOV917622 JYR917622 KIN917622 KSJ917622 LCF917622 LMB917622 LVX917622 MFT917622 MPP917622 MZL917622 NJH917622 NTD917622 OCZ917622 OMV917622 OWR917622 PGN917622 PQJ917622 QAF917622 QKB917622 QTX917622 RDT917622 RNP917622 RXL917622 SHH917622 SRD917622 TAZ917622 TKV917622 TUR917622 UEN917622 UOJ917622 UYF917622 VIB917622 VRX917622 WBT917622 WLP917622 WVL917622 B983160 IZ983158 SV983158 ACR983158 AMN983158 AWJ983158 BGF983158 BQB983158 BZX983158 CJT983158 CTP983158 DDL983158 DNH983158 DXD983158 EGZ983158 EQV983158 FAR983158 FKN983158 FUJ983158 GEF983158 GOB983158 GXX983158 HHT983158 HRP983158 IBL983158 ILH983158 IVD983158 JEZ983158 JOV983158 JYR983158 KIN983158 KSJ983158 LCF983158 LMB983158 LVX983158 MFT983158 MPP983158 MZL983158 NJH983158 NTD983158 OCZ983158 OMV983158 OWR983158 PGN983158 PQJ983158 QAF983158 QKB983158 QTX983158 RDT983158 RNP983158 RXL983158 SHH983158 SRD983158 TAZ983158 TKV983158 TUR983158 UEN983158 UOJ983158 UYF983158 VIB983158 VRX983158 WBT983158 WLP983158 WVL81:WVL128 WLP81:WLP128 WBT81:WBT128 VRX81:VRX128 VIB81:VIB128 UYF81:UYF128 UOJ81:UOJ128 UEN81:UEN128 TUR81:TUR128 TKV81:TKV128 TAZ81:TAZ128 SRD81:SRD128 SHH81:SHH128 RXL81:RXL128 RNP81:RNP128 RDT81:RDT128 QTX81:QTX128 QKB81:QKB128 QAF81:QAF128 PQJ81:PQJ128 PGN81:PGN128 OWR81:OWR128 OMV81:OMV128 OCZ81:OCZ128 NTD81:NTD128 NJH81:NJH128 MZL81:MZL128 MPP81:MPP128 MFT81:MFT128 LVX81:LVX128 LMB81:LMB128 LCF81:LCF128 KSJ81:KSJ128 KIN81:KIN128 JYR81:JYR128 JOV81:JOV128 JEZ81:JEZ128 IVD81:IVD128 ILH81:ILH128 IBL81:IBL128 HRP81:HRP128 HHT81:HHT128 GXX81:GXX128 GOB81:GOB128 GEF81:GEF128 FUJ81:FUJ128 FKN81:FKN128 FAR81:FAR128 EQV81:EQV128 EGZ81:EGZ128 DXD81:DXD128 DNH81:DNH128 DDL81:DDL128 CTP81:CTP128 CJT81:CJT128 BZX81:BZX128 BQB81:BQB128 BGF81:BGF128 AWJ81:AWJ128 AMN81:AMN128 ACR81:ACR128 SV81:SV128 IZ81:IZ128">
      <formula1>$B$26:$B$29</formula1>
    </dataValidation>
    <dataValidation type="list" allowBlank="1" showInputMessage="1" showErrorMessage="1" sqref="G65655 JC65654 SY65654 ACU65654 AMQ65654 AWM65654 BGI65654 BQE65654 CAA65654 CJW65654 CTS65654 DDO65654 DNK65654 DXG65654 EHC65654 EQY65654 FAU65654 FKQ65654 FUM65654 GEI65654 GOE65654 GYA65654 HHW65654 HRS65654 IBO65654 ILK65654 IVG65654 JFC65654 JOY65654 JYU65654 KIQ65654 KSM65654 LCI65654 LME65654 LWA65654 MFW65654 MPS65654 MZO65654 NJK65654 NTG65654 ODC65654 OMY65654 OWU65654 PGQ65654 PQM65654 QAI65654 QKE65654 QUA65654 RDW65654 RNS65654 RXO65654 SHK65654 SRG65654 TBC65654 TKY65654 TUU65654 UEQ65654 UOM65654 UYI65654 VIE65654 VSA65654 WBW65654 WLS65654 WVO65654 G131191 JC131190 SY131190 ACU131190 AMQ131190 AWM131190 BGI131190 BQE131190 CAA131190 CJW131190 CTS131190 DDO131190 DNK131190 DXG131190 EHC131190 EQY131190 FAU131190 FKQ131190 FUM131190 GEI131190 GOE131190 GYA131190 HHW131190 HRS131190 IBO131190 ILK131190 IVG131190 JFC131190 JOY131190 JYU131190 KIQ131190 KSM131190 LCI131190 LME131190 LWA131190 MFW131190 MPS131190 MZO131190 NJK131190 NTG131190 ODC131190 OMY131190 OWU131190 PGQ131190 PQM131190 QAI131190 QKE131190 QUA131190 RDW131190 RNS131190 RXO131190 SHK131190 SRG131190 TBC131190 TKY131190 TUU131190 UEQ131190 UOM131190 UYI131190 VIE131190 VSA131190 WBW131190 WLS131190 WVO131190 G196727 JC196726 SY196726 ACU196726 AMQ196726 AWM196726 BGI196726 BQE196726 CAA196726 CJW196726 CTS196726 DDO196726 DNK196726 DXG196726 EHC196726 EQY196726 FAU196726 FKQ196726 FUM196726 GEI196726 GOE196726 GYA196726 HHW196726 HRS196726 IBO196726 ILK196726 IVG196726 JFC196726 JOY196726 JYU196726 KIQ196726 KSM196726 LCI196726 LME196726 LWA196726 MFW196726 MPS196726 MZO196726 NJK196726 NTG196726 ODC196726 OMY196726 OWU196726 PGQ196726 PQM196726 QAI196726 QKE196726 QUA196726 RDW196726 RNS196726 RXO196726 SHK196726 SRG196726 TBC196726 TKY196726 TUU196726 UEQ196726 UOM196726 UYI196726 VIE196726 VSA196726 WBW196726 WLS196726 WVO196726 G262263 JC262262 SY262262 ACU262262 AMQ262262 AWM262262 BGI262262 BQE262262 CAA262262 CJW262262 CTS262262 DDO262262 DNK262262 DXG262262 EHC262262 EQY262262 FAU262262 FKQ262262 FUM262262 GEI262262 GOE262262 GYA262262 HHW262262 HRS262262 IBO262262 ILK262262 IVG262262 JFC262262 JOY262262 JYU262262 KIQ262262 KSM262262 LCI262262 LME262262 LWA262262 MFW262262 MPS262262 MZO262262 NJK262262 NTG262262 ODC262262 OMY262262 OWU262262 PGQ262262 PQM262262 QAI262262 QKE262262 QUA262262 RDW262262 RNS262262 RXO262262 SHK262262 SRG262262 TBC262262 TKY262262 TUU262262 UEQ262262 UOM262262 UYI262262 VIE262262 VSA262262 WBW262262 WLS262262 WVO262262 G327799 JC327798 SY327798 ACU327798 AMQ327798 AWM327798 BGI327798 BQE327798 CAA327798 CJW327798 CTS327798 DDO327798 DNK327798 DXG327798 EHC327798 EQY327798 FAU327798 FKQ327798 FUM327798 GEI327798 GOE327798 GYA327798 HHW327798 HRS327798 IBO327798 ILK327798 IVG327798 JFC327798 JOY327798 JYU327798 KIQ327798 KSM327798 LCI327798 LME327798 LWA327798 MFW327798 MPS327798 MZO327798 NJK327798 NTG327798 ODC327798 OMY327798 OWU327798 PGQ327798 PQM327798 QAI327798 QKE327798 QUA327798 RDW327798 RNS327798 RXO327798 SHK327798 SRG327798 TBC327798 TKY327798 TUU327798 UEQ327798 UOM327798 UYI327798 VIE327798 VSA327798 WBW327798 WLS327798 WVO327798 G393335 JC393334 SY393334 ACU393334 AMQ393334 AWM393334 BGI393334 BQE393334 CAA393334 CJW393334 CTS393334 DDO393334 DNK393334 DXG393334 EHC393334 EQY393334 FAU393334 FKQ393334 FUM393334 GEI393334 GOE393334 GYA393334 HHW393334 HRS393334 IBO393334 ILK393334 IVG393334 JFC393334 JOY393334 JYU393334 KIQ393334 KSM393334 LCI393334 LME393334 LWA393334 MFW393334 MPS393334 MZO393334 NJK393334 NTG393334 ODC393334 OMY393334 OWU393334 PGQ393334 PQM393334 QAI393334 QKE393334 QUA393334 RDW393334 RNS393334 RXO393334 SHK393334 SRG393334 TBC393334 TKY393334 TUU393334 UEQ393334 UOM393334 UYI393334 VIE393334 VSA393334 WBW393334 WLS393334 WVO393334 G458871 JC458870 SY458870 ACU458870 AMQ458870 AWM458870 BGI458870 BQE458870 CAA458870 CJW458870 CTS458870 DDO458870 DNK458870 DXG458870 EHC458870 EQY458870 FAU458870 FKQ458870 FUM458870 GEI458870 GOE458870 GYA458870 HHW458870 HRS458870 IBO458870 ILK458870 IVG458870 JFC458870 JOY458870 JYU458870 KIQ458870 KSM458870 LCI458870 LME458870 LWA458870 MFW458870 MPS458870 MZO458870 NJK458870 NTG458870 ODC458870 OMY458870 OWU458870 PGQ458870 PQM458870 QAI458870 QKE458870 QUA458870 RDW458870 RNS458870 RXO458870 SHK458870 SRG458870 TBC458870 TKY458870 TUU458870 UEQ458870 UOM458870 UYI458870 VIE458870 VSA458870 WBW458870 WLS458870 WVO458870 G524407 JC524406 SY524406 ACU524406 AMQ524406 AWM524406 BGI524406 BQE524406 CAA524406 CJW524406 CTS524406 DDO524406 DNK524406 DXG524406 EHC524406 EQY524406 FAU524406 FKQ524406 FUM524406 GEI524406 GOE524406 GYA524406 HHW524406 HRS524406 IBO524406 ILK524406 IVG524406 JFC524406 JOY524406 JYU524406 KIQ524406 KSM524406 LCI524406 LME524406 LWA524406 MFW524406 MPS524406 MZO524406 NJK524406 NTG524406 ODC524406 OMY524406 OWU524406 PGQ524406 PQM524406 QAI524406 QKE524406 QUA524406 RDW524406 RNS524406 RXO524406 SHK524406 SRG524406 TBC524406 TKY524406 TUU524406 UEQ524406 UOM524406 UYI524406 VIE524406 VSA524406 WBW524406 WLS524406 WVO524406 G589943 JC589942 SY589942 ACU589942 AMQ589942 AWM589942 BGI589942 BQE589942 CAA589942 CJW589942 CTS589942 DDO589942 DNK589942 DXG589942 EHC589942 EQY589942 FAU589942 FKQ589942 FUM589942 GEI589942 GOE589942 GYA589942 HHW589942 HRS589942 IBO589942 ILK589942 IVG589942 JFC589942 JOY589942 JYU589942 KIQ589942 KSM589942 LCI589942 LME589942 LWA589942 MFW589942 MPS589942 MZO589942 NJK589942 NTG589942 ODC589942 OMY589942 OWU589942 PGQ589942 PQM589942 QAI589942 QKE589942 QUA589942 RDW589942 RNS589942 RXO589942 SHK589942 SRG589942 TBC589942 TKY589942 TUU589942 UEQ589942 UOM589942 UYI589942 VIE589942 VSA589942 WBW589942 WLS589942 WVO589942 G655479 JC655478 SY655478 ACU655478 AMQ655478 AWM655478 BGI655478 BQE655478 CAA655478 CJW655478 CTS655478 DDO655478 DNK655478 DXG655478 EHC655478 EQY655478 FAU655478 FKQ655478 FUM655478 GEI655478 GOE655478 GYA655478 HHW655478 HRS655478 IBO655478 ILK655478 IVG655478 JFC655478 JOY655478 JYU655478 KIQ655478 KSM655478 LCI655478 LME655478 LWA655478 MFW655478 MPS655478 MZO655478 NJK655478 NTG655478 ODC655478 OMY655478 OWU655478 PGQ655478 PQM655478 QAI655478 QKE655478 QUA655478 RDW655478 RNS655478 RXO655478 SHK655478 SRG655478 TBC655478 TKY655478 TUU655478 UEQ655478 UOM655478 UYI655478 VIE655478 VSA655478 WBW655478 WLS655478 WVO655478 G721015 JC721014 SY721014 ACU721014 AMQ721014 AWM721014 BGI721014 BQE721014 CAA721014 CJW721014 CTS721014 DDO721014 DNK721014 DXG721014 EHC721014 EQY721014 FAU721014 FKQ721014 FUM721014 GEI721014 GOE721014 GYA721014 HHW721014 HRS721014 IBO721014 ILK721014 IVG721014 JFC721014 JOY721014 JYU721014 KIQ721014 KSM721014 LCI721014 LME721014 LWA721014 MFW721014 MPS721014 MZO721014 NJK721014 NTG721014 ODC721014 OMY721014 OWU721014 PGQ721014 PQM721014 QAI721014 QKE721014 QUA721014 RDW721014 RNS721014 RXO721014 SHK721014 SRG721014 TBC721014 TKY721014 TUU721014 UEQ721014 UOM721014 UYI721014 VIE721014 VSA721014 WBW721014 WLS721014 WVO721014 G786551 JC786550 SY786550 ACU786550 AMQ786550 AWM786550 BGI786550 BQE786550 CAA786550 CJW786550 CTS786550 DDO786550 DNK786550 DXG786550 EHC786550 EQY786550 FAU786550 FKQ786550 FUM786550 GEI786550 GOE786550 GYA786550 HHW786550 HRS786550 IBO786550 ILK786550 IVG786550 JFC786550 JOY786550 JYU786550 KIQ786550 KSM786550 LCI786550 LME786550 LWA786550 MFW786550 MPS786550 MZO786550 NJK786550 NTG786550 ODC786550 OMY786550 OWU786550 PGQ786550 PQM786550 QAI786550 QKE786550 QUA786550 RDW786550 RNS786550 RXO786550 SHK786550 SRG786550 TBC786550 TKY786550 TUU786550 UEQ786550 UOM786550 UYI786550 VIE786550 VSA786550 WBW786550 WLS786550 WVO786550 G852087 JC852086 SY852086 ACU852086 AMQ852086 AWM852086 BGI852086 BQE852086 CAA852086 CJW852086 CTS852086 DDO852086 DNK852086 DXG852086 EHC852086 EQY852086 FAU852086 FKQ852086 FUM852086 GEI852086 GOE852086 GYA852086 HHW852086 HRS852086 IBO852086 ILK852086 IVG852086 JFC852086 JOY852086 JYU852086 KIQ852086 KSM852086 LCI852086 LME852086 LWA852086 MFW852086 MPS852086 MZO852086 NJK852086 NTG852086 ODC852086 OMY852086 OWU852086 PGQ852086 PQM852086 QAI852086 QKE852086 QUA852086 RDW852086 RNS852086 RXO852086 SHK852086 SRG852086 TBC852086 TKY852086 TUU852086 UEQ852086 UOM852086 UYI852086 VIE852086 VSA852086 WBW852086 WLS852086 WVO852086 G917623 JC917622 SY917622 ACU917622 AMQ917622 AWM917622 BGI917622 BQE917622 CAA917622 CJW917622 CTS917622 DDO917622 DNK917622 DXG917622 EHC917622 EQY917622 FAU917622 FKQ917622 FUM917622 GEI917622 GOE917622 GYA917622 HHW917622 HRS917622 IBO917622 ILK917622 IVG917622 JFC917622 JOY917622 JYU917622 KIQ917622 KSM917622 LCI917622 LME917622 LWA917622 MFW917622 MPS917622 MZO917622 NJK917622 NTG917622 ODC917622 OMY917622 OWU917622 PGQ917622 PQM917622 QAI917622 QKE917622 QUA917622 RDW917622 RNS917622 RXO917622 SHK917622 SRG917622 TBC917622 TKY917622 TUU917622 UEQ917622 UOM917622 UYI917622 VIE917622 VSA917622 WBW917622 WLS917622 WVO917622 G983159 JC983158 SY983158 ACU983158 AMQ983158 AWM983158 BGI983158 BQE983158 CAA983158 CJW983158 CTS983158 DDO983158 DNK983158 DXG983158 EHC983158 EQY983158 FAU983158 FKQ983158 FUM983158 GEI983158 GOE983158 GYA983158 HHW983158 HRS983158 IBO983158 ILK983158 IVG983158 JFC983158 JOY983158 JYU983158 KIQ983158 KSM983158 LCI983158 LME983158 LWA983158 MFW983158 MPS983158 MZO983158 NJK983158 NTG983158 ODC983158 OMY983158 OWU983158 PGQ983158 PQM983158 QAI983158 QKE983158 QUA983158 RDW983158 RNS983158 RXO983158 SHK983158 SRG983158 TBC983158 TKY983158 TUU983158 UEQ983158 UOM983158 UYI983158 VIE983158 VSA983158 WBW983158 WLS983158 WVO983158 WBW81:WBW128 VSA81:VSA128 VIE81:VIE128 UYI81:UYI128 UOM81:UOM128 UEQ81:UEQ128 TUU81:TUU128 TKY81:TKY128 TBC81:TBC128 SRG81:SRG128 SHK81:SHK128 RXO81:RXO128 RNS81:RNS128 RDW81:RDW128 QUA81:QUA128 QKE81:QKE128 QAI81:QAI128 PQM81:PQM128 PGQ81:PGQ128 OWU81:OWU128 OMY81:OMY128 ODC81:ODC128 NTG81:NTG128 NJK81:NJK128 MZO81:MZO128 MPS81:MPS128 MFW81:MFW128 LWA81:LWA128 LME81:LME128 LCI81:LCI128 KSM81:KSM128 KIQ81:KIQ128 JYU81:JYU128 JOY81:JOY128 JFC81:JFC128 IVG81:IVG128 ILK81:ILK128 IBO81:IBO128 HRS81:HRS128 HHW81:HHW128 GYA81:GYA128 GOE81:GOE128 GEI81:GEI128 FUM81:FUM128 FKQ81:FKQ128 FAU81:FAU128 EQY81:EQY128 EHC81:EHC128 DXG81:DXG128 DNK81:DNK128 DDO81:DDO128 CTS81:CTS128 CJW81:CJW128 CAA81:CAA128 BQE81:BQE128 BGI81:BGI128 AWM81:AWM128 AMQ81:AMQ128 ACU81:ACU128 SY81:SY128 JC81:JC128 WLS81:WLS128 WVO81:WVO128">
      <formula1>$J$26:$J$29</formula1>
    </dataValidation>
    <dataValidation type="list" allowBlank="1" showInputMessage="1" showErrorMessage="1" sqref="O65654:O65656 JK65654:JK65656 TG65654:TG65656 ADC65654:ADC65656 AMY65654:AMY65656 AWU65654:AWU65656 BGQ65654:BGQ65656 BQM65654:BQM65656 CAI65654:CAI65656 CKE65654:CKE65656 CUA65654:CUA65656 DDW65654:DDW65656 DNS65654:DNS65656 DXO65654:DXO65656 EHK65654:EHK65656 ERG65654:ERG65656 FBC65654:FBC65656 FKY65654:FKY65656 FUU65654:FUU65656 GEQ65654:GEQ65656 GOM65654:GOM65656 GYI65654:GYI65656 HIE65654:HIE65656 HSA65654:HSA65656 IBW65654:IBW65656 ILS65654:ILS65656 IVO65654:IVO65656 JFK65654:JFK65656 JPG65654:JPG65656 JZC65654:JZC65656 KIY65654:KIY65656 KSU65654:KSU65656 LCQ65654:LCQ65656 LMM65654:LMM65656 LWI65654:LWI65656 MGE65654:MGE65656 MQA65654:MQA65656 MZW65654:MZW65656 NJS65654:NJS65656 NTO65654:NTO65656 ODK65654:ODK65656 ONG65654:ONG65656 OXC65654:OXC65656 PGY65654:PGY65656 PQU65654:PQU65656 QAQ65654:QAQ65656 QKM65654:QKM65656 QUI65654:QUI65656 REE65654:REE65656 ROA65654:ROA65656 RXW65654:RXW65656 SHS65654:SHS65656 SRO65654:SRO65656 TBK65654:TBK65656 TLG65654:TLG65656 TVC65654:TVC65656 UEY65654:UEY65656 UOU65654:UOU65656 UYQ65654:UYQ65656 VIM65654:VIM65656 VSI65654:VSI65656 WCE65654:WCE65656 WMA65654:WMA65656 WVW65654:WVW65656 O131190:O131192 JK131190:JK131192 TG131190:TG131192 ADC131190:ADC131192 AMY131190:AMY131192 AWU131190:AWU131192 BGQ131190:BGQ131192 BQM131190:BQM131192 CAI131190:CAI131192 CKE131190:CKE131192 CUA131190:CUA131192 DDW131190:DDW131192 DNS131190:DNS131192 DXO131190:DXO131192 EHK131190:EHK131192 ERG131190:ERG131192 FBC131190:FBC131192 FKY131190:FKY131192 FUU131190:FUU131192 GEQ131190:GEQ131192 GOM131190:GOM131192 GYI131190:GYI131192 HIE131190:HIE131192 HSA131190:HSA131192 IBW131190:IBW131192 ILS131190:ILS131192 IVO131190:IVO131192 JFK131190:JFK131192 JPG131190:JPG131192 JZC131190:JZC131192 KIY131190:KIY131192 KSU131190:KSU131192 LCQ131190:LCQ131192 LMM131190:LMM131192 LWI131190:LWI131192 MGE131190:MGE131192 MQA131190:MQA131192 MZW131190:MZW131192 NJS131190:NJS131192 NTO131190:NTO131192 ODK131190:ODK131192 ONG131190:ONG131192 OXC131190:OXC131192 PGY131190:PGY131192 PQU131190:PQU131192 QAQ131190:QAQ131192 QKM131190:QKM131192 QUI131190:QUI131192 REE131190:REE131192 ROA131190:ROA131192 RXW131190:RXW131192 SHS131190:SHS131192 SRO131190:SRO131192 TBK131190:TBK131192 TLG131190:TLG131192 TVC131190:TVC131192 UEY131190:UEY131192 UOU131190:UOU131192 UYQ131190:UYQ131192 VIM131190:VIM131192 VSI131190:VSI131192 WCE131190:WCE131192 WMA131190:WMA131192 WVW131190:WVW131192 O196726:O196728 JK196726:JK196728 TG196726:TG196728 ADC196726:ADC196728 AMY196726:AMY196728 AWU196726:AWU196728 BGQ196726:BGQ196728 BQM196726:BQM196728 CAI196726:CAI196728 CKE196726:CKE196728 CUA196726:CUA196728 DDW196726:DDW196728 DNS196726:DNS196728 DXO196726:DXO196728 EHK196726:EHK196728 ERG196726:ERG196728 FBC196726:FBC196728 FKY196726:FKY196728 FUU196726:FUU196728 GEQ196726:GEQ196728 GOM196726:GOM196728 GYI196726:GYI196728 HIE196726:HIE196728 HSA196726:HSA196728 IBW196726:IBW196728 ILS196726:ILS196728 IVO196726:IVO196728 JFK196726:JFK196728 JPG196726:JPG196728 JZC196726:JZC196728 KIY196726:KIY196728 KSU196726:KSU196728 LCQ196726:LCQ196728 LMM196726:LMM196728 LWI196726:LWI196728 MGE196726:MGE196728 MQA196726:MQA196728 MZW196726:MZW196728 NJS196726:NJS196728 NTO196726:NTO196728 ODK196726:ODK196728 ONG196726:ONG196728 OXC196726:OXC196728 PGY196726:PGY196728 PQU196726:PQU196728 QAQ196726:QAQ196728 QKM196726:QKM196728 QUI196726:QUI196728 REE196726:REE196728 ROA196726:ROA196728 RXW196726:RXW196728 SHS196726:SHS196728 SRO196726:SRO196728 TBK196726:TBK196728 TLG196726:TLG196728 TVC196726:TVC196728 UEY196726:UEY196728 UOU196726:UOU196728 UYQ196726:UYQ196728 VIM196726:VIM196728 VSI196726:VSI196728 WCE196726:WCE196728 WMA196726:WMA196728 WVW196726:WVW196728 O262262:O262264 JK262262:JK262264 TG262262:TG262264 ADC262262:ADC262264 AMY262262:AMY262264 AWU262262:AWU262264 BGQ262262:BGQ262264 BQM262262:BQM262264 CAI262262:CAI262264 CKE262262:CKE262264 CUA262262:CUA262264 DDW262262:DDW262264 DNS262262:DNS262264 DXO262262:DXO262264 EHK262262:EHK262264 ERG262262:ERG262264 FBC262262:FBC262264 FKY262262:FKY262264 FUU262262:FUU262264 GEQ262262:GEQ262264 GOM262262:GOM262264 GYI262262:GYI262264 HIE262262:HIE262264 HSA262262:HSA262264 IBW262262:IBW262264 ILS262262:ILS262264 IVO262262:IVO262264 JFK262262:JFK262264 JPG262262:JPG262264 JZC262262:JZC262264 KIY262262:KIY262264 KSU262262:KSU262264 LCQ262262:LCQ262264 LMM262262:LMM262264 LWI262262:LWI262264 MGE262262:MGE262264 MQA262262:MQA262264 MZW262262:MZW262264 NJS262262:NJS262264 NTO262262:NTO262264 ODK262262:ODK262264 ONG262262:ONG262264 OXC262262:OXC262264 PGY262262:PGY262264 PQU262262:PQU262264 QAQ262262:QAQ262264 QKM262262:QKM262264 QUI262262:QUI262264 REE262262:REE262264 ROA262262:ROA262264 RXW262262:RXW262264 SHS262262:SHS262264 SRO262262:SRO262264 TBK262262:TBK262264 TLG262262:TLG262264 TVC262262:TVC262264 UEY262262:UEY262264 UOU262262:UOU262264 UYQ262262:UYQ262264 VIM262262:VIM262264 VSI262262:VSI262264 WCE262262:WCE262264 WMA262262:WMA262264 WVW262262:WVW262264 O327798:O327800 JK327798:JK327800 TG327798:TG327800 ADC327798:ADC327800 AMY327798:AMY327800 AWU327798:AWU327800 BGQ327798:BGQ327800 BQM327798:BQM327800 CAI327798:CAI327800 CKE327798:CKE327800 CUA327798:CUA327800 DDW327798:DDW327800 DNS327798:DNS327800 DXO327798:DXO327800 EHK327798:EHK327800 ERG327798:ERG327800 FBC327798:FBC327800 FKY327798:FKY327800 FUU327798:FUU327800 GEQ327798:GEQ327800 GOM327798:GOM327800 GYI327798:GYI327800 HIE327798:HIE327800 HSA327798:HSA327800 IBW327798:IBW327800 ILS327798:ILS327800 IVO327798:IVO327800 JFK327798:JFK327800 JPG327798:JPG327800 JZC327798:JZC327800 KIY327798:KIY327800 KSU327798:KSU327800 LCQ327798:LCQ327800 LMM327798:LMM327800 LWI327798:LWI327800 MGE327798:MGE327800 MQA327798:MQA327800 MZW327798:MZW327800 NJS327798:NJS327800 NTO327798:NTO327800 ODK327798:ODK327800 ONG327798:ONG327800 OXC327798:OXC327800 PGY327798:PGY327800 PQU327798:PQU327800 QAQ327798:QAQ327800 QKM327798:QKM327800 QUI327798:QUI327800 REE327798:REE327800 ROA327798:ROA327800 RXW327798:RXW327800 SHS327798:SHS327800 SRO327798:SRO327800 TBK327798:TBK327800 TLG327798:TLG327800 TVC327798:TVC327800 UEY327798:UEY327800 UOU327798:UOU327800 UYQ327798:UYQ327800 VIM327798:VIM327800 VSI327798:VSI327800 WCE327798:WCE327800 WMA327798:WMA327800 WVW327798:WVW327800 O393334:O393336 JK393334:JK393336 TG393334:TG393336 ADC393334:ADC393336 AMY393334:AMY393336 AWU393334:AWU393336 BGQ393334:BGQ393336 BQM393334:BQM393336 CAI393334:CAI393336 CKE393334:CKE393336 CUA393334:CUA393336 DDW393334:DDW393336 DNS393334:DNS393336 DXO393334:DXO393336 EHK393334:EHK393336 ERG393334:ERG393336 FBC393334:FBC393336 FKY393334:FKY393336 FUU393334:FUU393336 GEQ393334:GEQ393336 GOM393334:GOM393336 GYI393334:GYI393336 HIE393334:HIE393336 HSA393334:HSA393336 IBW393334:IBW393336 ILS393334:ILS393336 IVO393334:IVO393336 JFK393334:JFK393336 JPG393334:JPG393336 JZC393334:JZC393336 KIY393334:KIY393336 KSU393334:KSU393336 LCQ393334:LCQ393336 LMM393334:LMM393336 LWI393334:LWI393336 MGE393334:MGE393336 MQA393334:MQA393336 MZW393334:MZW393336 NJS393334:NJS393336 NTO393334:NTO393336 ODK393334:ODK393336 ONG393334:ONG393336 OXC393334:OXC393336 PGY393334:PGY393336 PQU393334:PQU393336 QAQ393334:QAQ393336 QKM393334:QKM393336 QUI393334:QUI393336 REE393334:REE393336 ROA393334:ROA393336 RXW393334:RXW393336 SHS393334:SHS393336 SRO393334:SRO393336 TBK393334:TBK393336 TLG393334:TLG393336 TVC393334:TVC393336 UEY393334:UEY393336 UOU393334:UOU393336 UYQ393334:UYQ393336 VIM393334:VIM393336 VSI393334:VSI393336 WCE393334:WCE393336 WMA393334:WMA393336 WVW393334:WVW393336 O458870:O458872 JK458870:JK458872 TG458870:TG458872 ADC458870:ADC458872 AMY458870:AMY458872 AWU458870:AWU458872 BGQ458870:BGQ458872 BQM458870:BQM458872 CAI458870:CAI458872 CKE458870:CKE458872 CUA458870:CUA458872 DDW458870:DDW458872 DNS458870:DNS458872 DXO458870:DXO458872 EHK458870:EHK458872 ERG458870:ERG458872 FBC458870:FBC458872 FKY458870:FKY458872 FUU458870:FUU458872 GEQ458870:GEQ458872 GOM458870:GOM458872 GYI458870:GYI458872 HIE458870:HIE458872 HSA458870:HSA458872 IBW458870:IBW458872 ILS458870:ILS458872 IVO458870:IVO458872 JFK458870:JFK458872 JPG458870:JPG458872 JZC458870:JZC458872 KIY458870:KIY458872 KSU458870:KSU458872 LCQ458870:LCQ458872 LMM458870:LMM458872 LWI458870:LWI458872 MGE458870:MGE458872 MQA458870:MQA458872 MZW458870:MZW458872 NJS458870:NJS458872 NTO458870:NTO458872 ODK458870:ODK458872 ONG458870:ONG458872 OXC458870:OXC458872 PGY458870:PGY458872 PQU458870:PQU458872 QAQ458870:QAQ458872 QKM458870:QKM458872 QUI458870:QUI458872 REE458870:REE458872 ROA458870:ROA458872 RXW458870:RXW458872 SHS458870:SHS458872 SRO458870:SRO458872 TBK458870:TBK458872 TLG458870:TLG458872 TVC458870:TVC458872 UEY458870:UEY458872 UOU458870:UOU458872 UYQ458870:UYQ458872 VIM458870:VIM458872 VSI458870:VSI458872 WCE458870:WCE458872 WMA458870:WMA458872 WVW458870:WVW458872 O524406:O524408 JK524406:JK524408 TG524406:TG524408 ADC524406:ADC524408 AMY524406:AMY524408 AWU524406:AWU524408 BGQ524406:BGQ524408 BQM524406:BQM524408 CAI524406:CAI524408 CKE524406:CKE524408 CUA524406:CUA524408 DDW524406:DDW524408 DNS524406:DNS524408 DXO524406:DXO524408 EHK524406:EHK524408 ERG524406:ERG524408 FBC524406:FBC524408 FKY524406:FKY524408 FUU524406:FUU524408 GEQ524406:GEQ524408 GOM524406:GOM524408 GYI524406:GYI524408 HIE524406:HIE524408 HSA524406:HSA524408 IBW524406:IBW524408 ILS524406:ILS524408 IVO524406:IVO524408 JFK524406:JFK524408 JPG524406:JPG524408 JZC524406:JZC524408 KIY524406:KIY524408 KSU524406:KSU524408 LCQ524406:LCQ524408 LMM524406:LMM524408 LWI524406:LWI524408 MGE524406:MGE524408 MQA524406:MQA524408 MZW524406:MZW524408 NJS524406:NJS524408 NTO524406:NTO524408 ODK524406:ODK524408 ONG524406:ONG524408 OXC524406:OXC524408 PGY524406:PGY524408 PQU524406:PQU524408 QAQ524406:QAQ524408 QKM524406:QKM524408 QUI524406:QUI524408 REE524406:REE524408 ROA524406:ROA524408 RXW524406:RXW524408 SHS524406:SHS524408 SRO524406:SRO524408 TBK524406:TBK524408 TLG524406:TLG524408 TVC524406:TVC524408 UEY524406:UEY524408 UOU524406:UOU524408 UYQ524406:UYQ524408 VIM524406:VIM524408 VSI524406:VSI524408 WCE524406:WCE524408 WMA524406:WMA524408 WVW524406:WVW524408 O589942:O589944 JK589942:JK589944 TG589942:TG589944 ADC589942:ADC589944 AMY589942:AMY589944 AWU589942:AWU589944 BGQ589942:BGQ589944 BQM589942:BQM589944 CAI589942:CAI589944 CKE589942:CKE589944 CUA589942:CUA589944 DDW589942:DDW589944 DNS589942:DNS589944 DXO589942:DXO589944 EHK589942:EHK589944 ERG589942:ERG589944 FBC589942:FBC589944 FKY589942:FKY589944 FUU589942:FUU589944 GEQ589942:GEQ589944 GOM589942:GOM589944 GYI589942:GYI589944 HIE589942:HIE589944 HSA589942:HSA589944 IBW589942:IBW589944 ILS589942:ILS589944 IVO589942:IVO589944 JFK589942:JFK589944 JPG589942:JPG589944 JZC589942:JZC589944 KIY589942:KIY589944 KSU589942:KSU589944 LCQ589942:LCQ589944 LMM589942:LMM589944 LWI589942:LWI589944 MGE589942:MGE589944 MQA589942:MQA589944 MZW589942:MZW589944 NJS589942:NJS589944 NTO589942:NTO589944 ODK589942:ODK589944 ONG589942:ONG589944 OXC589942:OXC589944 PGY589942:PGY589944 PQU589942:PQU589944 QAQ589942:QAQ589944 QKM589942:QKM589944 QUI589942:QUI589944 REE589942:REE589944 ROA589942:ROA589944 RXW589942:RXW589944 SHS589942:SHS589944 SRO589942:SRO589944 TBK589942:TBK589944 TLG589942:TLG589944 TVC589942:TVC589944 UEY589942:UEY589944 UOU589942:UOU589944 UYQ589942:UYQ589944 VIM589942:VIM589944 VSI589942:VSI589944 WCE589942:WCE589944 WMA589942:WMA589944 WVW589942:WVW589944 O655478:O655480 JK655478:JK655480 TG655478:TG655480 ADC655478:ADC655480 AMY655478:AMY655480 AWU655478:AWU655480 BGQ655478:BGQ655480 BQM655478:BQM655480 CAI655478:CAI655480 CKE655478:CKE655480 CUA655478:CUA655480 DDW655478:DDW655480 DNS655478:DNS655480 DXO655478:DXO655480 EHK655478:EHK655480 ERG655478:ERG655480 FBC655478:FBC655480 FKY655478:FKY655480 FUU655478:FUU655480 GEQ655478:GEQ655480 GOM655478:GOM655480 GYI655478:GYI655480 HIE655478:HIE655480 HSA655478:HSA655480 IBW655478:IBW655480 ILS655478:ILS655480 IVO655478:IVO655480 JFK655478:JFK655480 JPG655478:JPG655480 JZC655478:JZC655480 KIY655478:KIY655480 KSU655478:KSU655480 LCQ655478:LCQ655480 LMM655478:LMM655480 LWI655478:LWI655480 MGE655478:MGE655480 MQA655478:MQA655480 MZW655478:MZW655480 NJS655478:NJS655480 NTO655478:NTO655480 ODK655478:ODK655480 ONG655478:ONG655480 OXC655478:OXC655480 PGY655478:PGY655480 PQU655478:PQU655480 QAQ655478:QAQ655480 QKM655478:QKM655480 QUI655478:QUI655480 REE655478:REE655480 ROA655478:ROA655480 RXW655478:RXW655480 SHS655478:SHS655480 SRO655478:SRO655480 TBK655478:TBK655480 TLG655478:TLG655480 TVC655478:TVC655480 UEY655478:UEY655480 UOU655478:UOU655480 UYQ655478:UYQ655480 VIM655478:VIM655480 VSI655478:VSI655480 WCE655478:WCE655480 WMA655478:WMA655480 WVW655478:WVW655480 O721014:O721016 JK721014:JK721016 TG721014:TG721016 ADC721014:ADC721016 AMY721014:AMY721016 AWU721014:AWU721016 BGQ721014:BGQ721016 BQM721014:BQM721016 CAI721014:CAI721016 CKE721014:CKE721016 CUA721014:CUA721016 DDW721014:DDW721016 DNS721014:DNS721016 DXO721014:DXO721016 EHK721014:EHK721016 ERG721014:ERG721016 FBC721014:FBC721016 FKY721014:FKY721016 FUU721014:FUU721016 GEQ721014:GEQ721016 GOM721014:GOM721016 GYI721014:GYI721016 HIE721014:HIE721016 HSA721014:HSA721016 IBW721014:IBW721016 ILS721014:ILS721016 IVO721014:IVO721016 JFK721014:JFK721016 JPG721014:JPG721016 JZC721014:JZC721016 KIY721014:KIY721016 KSU721014:KSU721016 LCQ721014:LCQ721016 LMM721014:LMM721016 LWI721014:LWI721016 MGE721014:MGE721016 MQA721014:MQA721016 MZW721014:MZW721016 NJS721014:NJS721016 NTO721014:NTO721016 ODK721014:ODK721016 ONG721014:ONG721016 OXC721014:OXC721016 PGY721014:PGY721016 PQU721014:PQU721016 QAQ721014:QAQ721016 QKM721014:QKM721016 QUI721014:QUI721016 REE721014:REE721016 ROA721014:ROA721016 RXW721014:RXW721016 SHS721014:SHS721016 SRO721014:SRO721016 TBK721014:TBK721016 TLG721014:TLG721016 TVC721014:TVC721016 UEY721014:UEY721016 UOU721014:UOU721016 UYQ721014:UYQ721016 VIM721014:VIM721016 VSI721014:VSI721016 WCE721014:WCE721016 WMA721014:WMA721016 WVW721014:WVW721016 O786550:O786552 JK786550:JK786552 TG786550:TG786552 ADC786550:ADC786552 AMY786550:AMY786552 AWU786550:AWU786552 BGQ786550:BGQ786552 BQM786550:BQM786552 CAI786550:CAI786552 CKE786550:CKE786552 CUA786550:CUA786552 DDW786550:DDW786552 DNS786550:DNS786552 DXO786550:DXO786552 EHK786550:EHK786552 ERG786550:ERG786552 FBC786550:FBC786552 FKY786550:FKY786552 FUU786550:FUU786552 GEQ786550:GEQ786552 GOM786550:GOM786552 GYI786550:GYI786552 HIE786550:HIE786552 HSA786550:HSA786552 IBW786550:IBW786552 ILS786550:ILS786552 IVO786550:IVO786552 JFK786550:JFK786552 JPG786550:JPG786552 JZC786550:JZC786552 KIY786550:KIY786552 KSU786550:KSU786552 LCQ786550:LCQ786552 LMM786550:LMM786552 LWI786550:LWI786552 MGE786550:MGE786552 MQA786550:MQA786552 MZW786550:MZW786552 NJS786550:NJS786552 NTO786550:NTO786552 ODK786550:ODK786552 ONG786550:ONG786552 OXC786550:OXC786552 PGY786550:PGY786552 PQU786550:PQU786552 QAQ786550:QAQ786552 QKM786550:QKM786552 QUI786550:QUI786552 REE786550:REE786552 ROA786550:ROA786552 RXW786550:RXW786552 SHS786550:SHS786552 SRO786550:SRO786552 TBK786550:TBK786552 TLG786550:TLG786552 TVC786550:TVC786552 UEY786550:UEY786552 UOU786550:UOU786552 UYQ786550:UYQ786552 VIM786550:VIM786552 VSI786550:VSI786552 WCE786550:WCE786552 WMA786550:WMA786552 WVW786550:WVW786552 O852086:O852088 JK852086:JK852088 TG852086:TG852088 ADC852086:ADC852088 AMY852086:AMY852088 AWU852086:AWU852088 BGQ852086:BGQ852088 BQM852086:BQM852088 CAI852086:CAI852088 CKE852086:CKE852088 CUA852086:CUA852088 DDW852086:DDW852088 DNS852086:DNS852088 DXO852086:DXO852088 EHK852086:EHK852088 ERG852086:ERG852088 FBC852086:FBC852088 FKY852086:FKY852088 FUU852086:FUU852088 GEQ852086:GEQ852088 GOM852086:GOM852088 GYI852086:GYI852088 HIE852086:HIE852088 HSA852086:HSA852088 IBW852086:IBW852088 ILS852086:ILS852088 IVO852086:IVO852088 JFK852086:JFK852088 JPG852086:JPG852088 JZC852086:JZC852088 KIY852086:KIY852088 KSU852086:KSU852088 LCQ852086:LCQ852088 LMM852086:LMM852088 LWI852086:LWI852088 MGE852086:MGE852088 MQA852086:MQA852088 MZW852086:MZW852088 NJS852086:NJS852088 NTO852086:NTO852088 ODK852086:ODK852088 ONG852086:ONG852088 OXC852086:OXC852088 PGY852086:PGY852088 PQU852086:PQU852088 QAQ852086:QAQ852088 QKM852086:QKM852088 QUI852086:QUI852088 REE852086:REE852088 ROA852086:ROA852088 RXW852086:RXW852088 SHS852086:SHS852088 SRO852086:SRO852088 TBK852086:TBK852088 TLG852086:TLG852088 TVC852086:TVC852088 UEY852086:UEY852088 UOU852086:UOU852088 UYQ852086:UYQ852088 VIM852086:VIM852088 VSI852086:VSI852088 WCE852086:WCE852088 WMA852086:WMA852088 WVW852086:WVW852088 O917622:O917624 JK917622:JK917624 TG917622:TG917624 ADC917622:ADC917624 AMY917622:AMY917624 AWU917622:AWU917624 BGQ917622:BGQ917624 BQM917622:BQM917624 CAI917622:CAI917624 CKE917622:CKE917624 CUA917622:CUA917624 DDW917622:DDW917624 DNS917622:DNS917624 DXO917622:DXO917624 EHK917622:EHK917624 ERG917622:ERG917624 FBC917622:FBC917624 FKY917622:FKY917624 FUU917622:FUU917624 GEQ917622:GEQ917624 GOM917622:GOM917624 GYI917622:GYI917624 HIE917622:HIE917624 HSA917622:HSA917624 IBW917622:IBW917624 ILS917622:ILS917624 IVO917622:IVO917624 JFK917622:JFK917624 JPG917622:JPG917624 JZC917622:JZC917624 KIY917622:KIY917624 KSU917622:KSU917624 LCQ917622:LCQ917624 LMM917622:LMM917624 LWI917622:LWI917624 MGE917622:MGE917624 MQA917622:MQA917624 MZW917622:MZW917624 NJS917622:NJS917624 NTO917622:NTO917624 ODK917622:ODK917624 ONG917622:ONG917624 OXC917622:OXC917624 PGY917622:PGY917624 PQU917622:PQU917624 QAQ917622:QAQ917624 QKM917622:QKM917624 QUI917622:QUI917624 REE917622:REE917624 ROA917622:ROA917624 RXW917622:RXW917624 SHS917622:SHS917624 SRO917622:SRO917624 TBK917622:TBK917624 TLG917622:TLG917624 TVC917622:TVC917624 UEY917622:UEY917624 UOU917622:UOU917624 UYQ917622:UYQ917624 VIM917622:VIM917624 VSI917622:VSI917624 WCE917622:WCE917624 WMA917622:WMA917624 WVW917622:WVW917624 O983158:O983160 JK983158:JK983160 TG983158:TG983160 ADC983158:ADC983160 AMY983158:AMY983160 AWU983158:AWU983160 BGQ983158:BGQ983160 BQM983158:BQM983160 CAI983158:CAI983160 CKE983158:CKE983160 CUA983158:CUA983160 DDW983158:DDW983160 DNS983158:DNS983160 DXO983158:DXO983160 EHK983158:EHK983160 ERG983158:ERG983160 FBC983158:FBC983160 FKY983158:FKY983160 FUU983158:FUU983160 GEQ983158:GEQ983160 GOM983158:GOM983160 GYI983158:GYI983160 HIE983158:HIE983160 HSA983158:HSA983160 IBW983158:IBW983160 ILS983158:ILS983160 IVO983158:IVO983160 JFK983158:JFK983160 JPG983158:JPG983160 JZC983158:JZC983160 KIY983158:KIY983160 KSU983158:KSU983160 LCQ983158:LCQ983160 LMM983158:LMM983160 LWI983158:LWI983160 MGE983158:MGE983160 MQA983158:MQA983160 MZW983158:MZW983160 NJS983158:NJS983160 NTO983158:NTO983160 ODK983158:ODK983160 ONG983158:ONG983160 OXC983158:OXC983160 PGY983158:PGY983160 PQU983158:PQU983160 QAQ983158:QAQ983160 QKM983158:QKM983160 QUI983158:QUI983160 REE983158:REE983160 ROA983158:ROA983160 RXW983158:RXW983160 SHS983158:SHS983160 SRO983158:SRO983160 TBK983158:TBK983160 TLG983158:TLG983160 TVC983158:TVC983160 UEY983158:UEY983160 UOU983158:UOU983160 UYQ983158:UYQ983160 VIM983158:VIM983160 VSI983158:VSI983160 WCE983158:WCE983160 WMA983158:WMA983160 WVW983158:WVW983160 O154:O166 JK154:JK166 TG154:TG166 ADC154:ADC166 AMY154:AMY166 AWU154:AWU166 BGQ154:BGQ166 BQM154:BQM166 CAI154:CAI166 CKE154:CKE166 CUA154:CUA166 DDW154:DDW166 DNS154:DNS166 DXO154:DXO166 EHK154:EHK166 ERG154:ERG166 FBC154:FBC166 FKY154:FKY166 FUU154:FUU166 GEQ154:GEQ166 GOM154:GOM166 GYI154:GYI166 HIE154:HIE166 HSA154:HSA166 IBW154:IBW166 ILS154:ILS166 IVO154:IVO166 JFK154:JFK166 JPG154:JPG166 JZC154:JZC166 KIY154:KIY166 KSU154:KSU166 LCQ154:LCQ166 LMM154:LMM166 LWI154:LWI166 MGE154:MGE166 MQA154:MQA166 MZW154:MZW166 NJS154:NJS166 NTO154:NTO166 ODK154:ODK166 ONG154:ONG166 OXC154:OXC166 PGY154:PGY166 PQU154:PQU166 QAQ154:QAQ166 QKM154:QKM166 QUI154:QUI166 REE154:REE166 ROA154:ROA166 RXW154:RXW166 SHS154:SHS166 SRO154:SRO166 TBK154:TBK166 TLG154:TLG166 TVC154:TVC166 UEY154:UEY166 UOU154:UOU166 UYQ154:UYQ166 VIM154:VIM166 VSI154:VSI166 WCE154:WCE166 WMA154:WMA166 WVW154:WVW166 O81:O128 JK81:JK128 TG81:TG128 ADC81:ADC128 AMY81:AMY128 AWU81:AWU128 BGQ81:BGQ128 BQM81:BQM128 CAI81:CAI128 CKE81:CKE128 CUA81:CUA128 DDW81:DDW128 DNS81:DNS128 DXO81:DXO128 EHK81:EHK128 ERG81:ERG128 FBC81:FBC128 FKY81:FKY128 FUU81:FUU128 GEQ81:GEQ128 GOM81:GOM128 GYI81:GYI128 HIE81:HIE128 HSA81:HSA128 IBW81:IBW128 ILS81:ILS128 IVO81:IVO128 JFK81:JFK128 JPG81:JPG128 JZC81:JZC128 KIY81:KIY128 KSU81:KSU128 LCQ81:LCQ128 LMM81:LMM128 LWI81:LWI128 MGE81:MGE128 MQA81:MQA128 MZW81:MZW128 NJS81:NJS128 NTO81:NTO128 ODK81:ODK128 ONG81:ONG128 OXC81:OXC128 PGY81:PGY128 PQU81:PQU128 QAQ81:QAQ128 QKM81:QKM128 QUI81:QUI128 REE81:REE128 ROA81:ROA128 RXW81:RXW128 SHS81:SHS128 SRO81:SRO128 TBK81:TBK128 TLG81:TLG128 TVC81:TVC128 UEY81:UEY128 UOU81:UOU128 UYQ81:UYQ128 VIM81:VIM128 VSI81:VSI128 WCE81:WCE128 WMA81:WMA128 WVW81:WVW128">
      <formula1>#REF!</formula1>
    </dataValidation>
    <dataValidation type="list" allowBlank="1" showInputMessage="1" showErrorMessage="1" sqref="WVV983158:WVV983160 N65654:N65656 JJ65654:JJ65656 TF65654:TF65656 ADB65654:ADB65656 AMX65654:AMX65656 AWT65654:AWT65656 BGP65654:BGP65656 BQL65654:BQL65656 CAH65654:CAH65656 CKD65654:CKD65656 CTZ65654:CTZ65656 DDV65654:DDV65656 DNR65654:DNR65656 DXN65654:DXN65656 EHJ65654:EHJ65656 ERF65654:ERF65656 FBB65654:FBB65656 FKX65654:FKX65656 FUT65654:FUT65656 GEP65654:GEP65656 GOL65654:GOL65656 GYH65654:GYH65656 HID65654:HID65656 HRZ65654:HRZ65656 IBV65654:IBV65656 ILR65654:ILR65656 IVN65654:IVN65656 JFJ65654:JFJ65656 JPF65654:JPF65656 JZB65654:JZB65656 KIX65654:KIX65656 KST65654:KST65656 LCP65654:LCP65656 LML65654:LML65656 LWH65654:LWH65656 MGD65654:MGD65656 MPZ65654:MPZ65656 MZV65654:MZV65656 NJR65654:NJR65656 NTN65654:NTN65656 ODJ65654:ODJ65656 ONF65654:ONF65656 OXB65654:OXB65656 PGX65654:PGX65656 PQT65654:PQT65656 QAP65654:QAP65656 QKL65654:QKL65656 QUH65654:QUH65656 RED65654:RED65656 RNZ65654:RNZ65656 RXV65654:RXV65656 SHR65654:SHR65656 SRN65654:SRN65656 TBJ65654:TBJ65656 TLF65654:TLF65656 TVB65654:TVB65656 UEX65654:UEX65656 UOT65654:UOT65656 UYP65654:UYP65656 VIL65654:VIL65656 VSH65654:VSH65656 WCD65654:WCD65656 WLZ65654:WLZ65656 WVV65654:WVV65656 N131190:N131192 JJ131190:JJ131192 TF131190:TF131192 ADB131190:ADB131192 AMX131190:AMX131192 AWT131190:AWT131192 BGP131190:BGP131192 BQL131190:BQL131192 CAH131190:CAH131192 CKD131190:CKD131192 CTZ131190:CTZ131192 DDV131190:DDV131192 DNR131190:DNR131192 DXN131190:DXN131192 EHJ131190:EHJ131192 ERF131190:ERF131192 FBB131190:FBB131192 FKX131190:FKX131192 FUT131190:FUT131192 GEP131190:GEP131192 GOL131190:GOL131192 GYH131190:GYH131192 HID131190:HID131192 HRZ131190:HRZ131192 IBV131190:IBV131192 ILR131190:ILR131192 IVN131190:IVN131192 JFJ131190:JFJ131192 JPF131190:JPF131192 JZB131190:JZB131192 KIX131190:KIX131192 KST131190:KST131192 LCP131190:LCP131192 LML131190:LML131192 LWH131190:LWH131192 MGD131190:MGD131192 MPZ131190:MPZ131192 MZV131190:MZV131192 NJR131190:NJR131192 NTN131190:NTN131192 ODJ131190:ODJ131192 ONF131190:ONF131192 OXB131190:OXB131192 PGX131190:PGX131192 PQT131190:PQT131192 QAP131190:QAP131192 QKL131190:QKL131192 QUH131190:QUH131192 RED131190:RED131192 RNZ131190:RNZ131192 RXV131190:RXV131192 SHR131190:SHR131192 SRN131190:SRN131192 TBJ131190:TBJ131192 TLF131190:TLF131192 TVB131190:TVB131192 UEX131190:UEX131192 UOT131190:UOT131192 UYP131190:UYP131192 VIL131190:VIL131192 VSH131190:VSH131192 WCD131190:WCD131192 WLZ131190:WLZ131192 WVV131190:WVV131192 N196726:N196728 JJ196726:JJ196728 TF196726:TF196728 ADB196726:ADB196728 AMX196726:AMX196728 AWT196726:AWT196728 BGP196726:BGP196728 BQL196726:BQL196728 CAH196726:CAH196728 CKD196726:CKD196728 CTZ196726:CTZ196728 DDV196726:DDV196728 DNR196726:DNR196728 DXN196726:DXN196728 EHJ196726:EHJ196728 ERF196726:ERF196728 FBB196726:FBB196728 FKX196726:FKX196728 FUT196726:FUT196728 GEP196726:GEP196728 GOL196726:GOL196728 GYH196726:GYH196728 HID196726:HID196728 HRZ196726:HRZ196728 IBV196726:IBV196728 ILR196726:ILR196728 IVN196726:IVN196728 JFJ196726:JFJ196728 JPF196726:JPF196728 JZB196726:JZB196728 KIX196726:KIX196728 KST196726:KST196728 LCP196726:LCP196728 LML196726:LML196728 LWH196726:LWH196728 MGD196726:MGD196728 MPZ196726:MPZ196728 MZV196726:MZV196728 NJR196726:NJR196728 NTN196726:NTN196728 ODJ196726:ODJ196728 ONF196726:ONF196728 OXB196726:OXB196728 PGX196726:PGX196728 PQT196726:PQT196728 QAP196726:QAP196728 QKL196726:QKL196728 QUH196726:QUH196728 RED196726:RED196728 RNZ196726:RNZ196728 RXV196726:RXV196728 SHR196726:SHR196728 SRN196726:SRN196728 TBJ196726:TBJ196728 TLF196726:TLF196728 TVB196726:TVB196728 UEX196726:UEX196728 UOT196726:UOT196728 UYP196726:UYP196728 VIL196726:VIL196728 VSH196726:VSH196728 WCD196726:WCD196728 WLZ196726:WLZ196728 WVV196726:WVV196728 N262262:N262264 JJ262262:JJ262264 TF262262:TF262264 ADB262262:ADB262264 AMX262262:AMX262264 AWT262262:AWT262264 BGP262262:BGP262264 BQL262262:BQL262264 CAH262262:CAH262264 CKD262262:CKD262264 CTZ262262:CTZ262264 DDV262262:DDV262264 DNR262262:DNR262264 DXN262262:DXN262264 EHJ262262:EHJ262264 ERF262262:ERF262264 FBB262262:FBB262264 FKX262262:FKX262264 FUT262262:FUT262264 GEP262262:GEP262264 GOL262262:GOL262264 GYH262262:GYH262264 HID262262:HID262264 HRZ262262:HRZ262264 IBV262262:IBV262264 ILR262262:ILR262264 IVN262262:IVN262264 JFJ262262:JFJ262264 JPF262262:JPF262264 JZB262262:JZB262264 KIX262262:KIX262264 KST262262:KST262264 LCP262262:LCP262264 LML262262:LML262264 LWH262262:LWH262264 MGD262262:MGD262264 MPZ262262:MPZ262264 MZV262262:MZV262264 NJR262262:NJR262264 NTN262262:NTN262264 ODJ262262:ODJ262264 ONF262262:ONF262264 OXB262262:OXB262264 PGX262262:PGX262264 PQT262262:PQT262264 QAP262262:QAP262264 QKL262262:QKL262264 QUH262262:QUH262264 RED262262:RED262264 RNZ262262:RNZ262264 RXV262262:RXV262264 SHR262262:SHR262264 SRN262262:SRN262264 TBJ262262:TBJ262264 TLF262262:TLF262264 TVB262262:TVB262264 UEX262262:UEX262264 UOT262262:UOT262264 UYP262262:UYP262264 VIL262262:VIL262264 VSH262262:VSH262264 WCD262262:WCD262264 WLZ262262:WLZ262264 WVV262262:WVV262264 N327798:N327800 JJ327798:JJ327800 TF327798:TF327800 ADB327798:ADB327800 AMX327798:AMX327800 AWT327798:AWT327800 BGP327798:BGP327800 BQL327798:BQL327800 CAH327798:CAH327800 CKD327798:CKD327800 CTZ327798:CTZ327800 DDV327798:DDV327800 DNR327798:DNR327800 DXN327798:DXN327800 EHJ327798:EHJ327800 ERF327798:ERF327800 FBB327798:FBB327800 FKX327798:FKX327800 FUT327798:FUT327800 GEP327798:GEP327800 GOL327798:GOL327800 GYH327798:GYH327800 HID327798:HID327800 HRZ327798:HRZ327800 IBV327798:IBV327800 ILR327798:ILR327800 IVN327798:IVN327800 JFJ327798:JFJ327800 JPF327798:JPF327800 JZB327798:JZB327800 KIX327798:KIX327800 KST327798:KST327800 LCP327798:LCP327800 LML327798:LML327800 LWH327798:LWH327800 MGD327798:MGD327800 MPZ327798:MPZ327800 MZV327798:MZV327800 NJR327798:NJR327800 NTN327798:NTN327800 ODJ327798:ODJ327800 ONF327798:ONF327800 OXB327798:OXB327800 PGX327798:PGX327800 PQT327798:PQT327800 QAP327798:QAP327800 QKL327798:QKL327800 QUH327798:QUH327800 RED327798:RED327800 RNZ327798:RNZ327800 RXV327798:RXV327800 SHR327798:SHR327800 SRN327798:SRN327800 TBJ327798:TBJ327800 TLF327798:TLF327800 TVB327798:TVB327800 UEX327798:UEX327800 UOT327798:UOT327800 UYP327798:UYP327800 VIL327798:VIL327800 VSH327798:VSH327800 WCD327798:WCD327800 WLZ327798:WLZ327800 WVV327798:WVV327800 N393334:N393336 JJ393334:JJ393336 TF393334:TF393336 ADB393334:ADB393336 AMX393334:AMX393336 AWT393334:AWT393336 BGP393334:BGP393336 BQL393334:BQL393336 CAH393334:CAH393336 CKD393334:CKD393336 CTZ393334:CTZ393336 DDV393334:DDV393336 DNR393334:DNR393336 DXN393334:DXN393336 EHJ393334:EHJ393336 ERF393334:ERF393336 FBB393334:FBB393336 FKX393334:FKX393336 FUT393334:FUT393336 GEP393334:GEP393336 GOL393334:GOL393336 GYH393334:GYH393336 HID393334:HID393336 HRZ393334:HRZ393336 IBV393334:IBV393336 ILR393334:ILR393336 IVN393334:IVN393336 JFJ393334:JFJ393336 JPF393334:JPF393336 JZB393334:JZB393336 KIX393334:KIX393336 KST393334:KST393336 LCP393334:LCP393336 LML393334:LML393336 LWH393334:LWH393336 MGD393334:MGD393336 MPZ393334:MPZ393336 MZV393334:MZV393336 NJR393334:NJR393336 NTN393334:NTN393336 ODJ393334:ODJ393336 ONF393334:ONF393336 OXB393334:OXB393336 PGX393334:PGX393336 PQT393334:PQT393336 QAP393334:QAP393336 QKL393334:QKL393336 QUH393334:QUH393336 RED393334:RED393336 RNZ393334:RNZ393336 RXV393334:RXV393336 SHR393334:SHR393336 SRN393334:SRN393336 TBJ393334:TBJ393336 TLF393334:TLF393336 TVB393334:TVB393336 UEX393334:UEX393336 UOT393334:UOT393336 UYP393334:UYP393336 VIL393334:VIL393336 VSH393334:VSH393336 WCD393334:WCD393336 WLZ393334:WLZ393336 WVV393334:WVV393336 N458870:N458872 JJ458870:JJ458872 TF458870:TF458872 ADB458870:ADB458872 AMX458870:AMX458872 AWT458870:AWT458872 BGP458870:BGP458872 BQL458870:BQL458872 CAH458870:CAH458872 CKD458870:CKD458872 CTZ458870:CTZ458872 DDV458870:DDV458872 DNR458870:DNR458872 DXN458870:DXN458872 EHJ458870:EHJ458872 ERF458870:ERF458872 FBB458870:FBB458872 FKX458870:FKX458872 FUT458870:FUT458872 GEP458870:GEP458872 GOL458870:GOL458872 GYH458870:GYH458872 HID458870:HID458872 HRZ458870:HRZ458872 IBV458870:IBV458872 ILR458870:ILR458872 IVN458870:IVN458872 JFJ458870:JFJ458872 JPF458870:JPF458872 JZB458870:JZB458872 KIX458870:KIX458872 KST458870:KST458872 LCP458870:LCP458872 LML458870:LML458872 LWH458870:LWH458872 MGD458870:MGD458872 MPZ458870:MPZ458872 MZV458870:MZV458872 NJR458870:NJR458872 NTN458870:NTN458872 ODJ458870:ODJ458872 ONF458870:ONF458872 OXB458870:OXB458872 PGX458870:PGX458872 PQT458870:PQT458872 QAP458870:QAP458872 QKL458870:QKL458872 QUH458870:QUH458872 RED458870:RED458872 RNZ458870:RNZ458872 RXV458870:RXV458872 SHR458870:SHR458872 SRN458870:SRN458872 TBJ458870:TBJ458872 TLF458870:TLF458872 TVB458870:TVB458872 UEX458870:UEX458872 UOT458870:UOT458872 UYP458870:UYP458872 VIL458870:VIL458872 VSH458870:VSH458872 WCD458870:WCD458872 WLZ458870:WLZ458872 WVV458870:WVV458872 N524406:N524408 JJ524406:JJ524408 TF524406:TF524408 ADB524406:ADB524408 AMX524406:AMX524408 AWT524406:AWT524408 BGP524406:BGP524408 BQL524406:BQL524408 CAH524406:CAH524408 CKD524406:CKD524408 CTZ524406:CTZ524408 DDV524406:DDV524408 DNR524406:DNR524408 DXN524406:DXN524408 EHJ524406:EHJ524408 ERF524406:ERF524408 FBB524406:FBB524408 FKX524406:FKX524408 FUT524406:FUT524408 GEP524406:GEP524408 GOL524406:GOL524408 GYH524406:GYH524408 HID524406:HID524408 HRZ524406:HRZ524408 IBV524406:IBV524408 ILR524406:ILR524408 IVN524406:IVN524408 JFJ524406:JFJ524408 JPF524406:JPF524408 JZB524406:JZB524408 KIX524406:KIX524408 KST524406:KST524408 LCP524406:LCP524408 LML524406:LML524408 LWH524406:LWH524408 MGD524406:MGD524408 MPZ524406:MPZ524408 MZV524406:MZV524408 NJR524406:NJR524408 NTN524406:NTN524408 ODJ524406:ODJ524408 ONF524406:ONF524408 OXB524406:OXB524408 PGX524406:PGX524408 PQT524406:PQT524408 QAP524406:QAP524408 QKL524406:QKL524408 QUH524406:QUH524408 RED524406:RED524408 RNZ524406:RNZ524408 RXV524406:RXV524408 SHR524406:SHR524408 SRN524406:SRN524408 TBJ524406:TBJ524408 TLF524406:TLF524408 TVB524406:TVB524408 UEX524406:UEX524408 UOT524406:UOT524408 UYP524406:UYP524408 VIL524406:VIL524408 VSH524406:VSH524408 WCD524406:WCD524408 WLZ524406:WLZ524408 WVV524406:WVV524408 N589942:N589944 JJ589942:JJ589944 TF589942:TF589944 ADB589942:ADB589944 AMX589942:AMX589944 AWT589942:AWT589944 BGP589942:BGP589944 BQL589942:BQL589944 CAH589942:CAH589944 CKD589942:CKD589944 CTZ589942:CTZ589944 DDV589942:DDV589944 DNR589942:DNR589944 DXN589942:DXN589944 EHJ589942:EHJ589944 ERF589942:ERF589944 FBB589942:FBB589944 FKX589942:FKX589944 FUT589942:FUT589944 GEP589942:GEP589944 GOL589942:GOL589944 GYH589942:GYH589944 HID589942:HID589944 HRZ589942:HRZ589944 IBV589942:IBV589944 ILR589942:ILR589944 IVN589942:IVN589944 JFJ589942:JFJ589944 JPF589942:JPF589944 JZB589942:JZB589944 KIX589942:KIX589944 KST589942:KST589944 LCP589942:LCP589944 LML589942:LML589944 LWH589942:LWH589944 MGD589942:MGD589944 MPZ589942:MPZ589944 MZV589942:MZV589944 NJR589942:NJR589944 NTN589942:NTN589944 ODJ589942:ODJ589944 ONF589942:ONF589944 OXB589942:OXB589944 PGX589942:PGX589944 PQT589942:PQT589944 QAP589942:QAP589944 QKL589942:QKL589944 QUH589942:QUH589944 RED589942:RED589944 RNZ589942:RNZ589944 RXV589942:RXV589944 SHR589942:SHR589944 SRN589942:SRN589944 TBJ589942:TBJ589944 TLF589942:TLF589944 TVB589942:TVB589944 UEX589942:UEX589944 UOT589942:UOT589944 UYP589942:UYP589944 VIL589942:VIL589944 VSH589942:VSH589944 WCD589942:WCD589944 WLZ589942:WLZ589944 WVV589942:WVV589944 N655478:N655480 JJ655478:JJ655480 TF655478:TF655480 ADB655478:ADB655480 AMX655478:AMX655480 AWT655478:AWT655480 BGP655478:BGP655480 BQL655478:BQL655480 CAH655478:CAH655480 CKD655478:CKD655480 CTZ655478:CTZ655480 DDV655478:DDV655480 DNR655478:DNR655480 DXN655478:DXN655480 EHJ655478:EHJ655480 ERF655478:ERF655480 FBB655478:FBB655480 FKX655478:FKX655480 FUT655478:FUT655480 GEP655478:GEP655480 GOL655478:GOL655480 GYH655478:GYH655480 HID655478:HID655480 HRZ655478:HRZ655480 IBV655478:IBV655480 ILR655478:ILR655480 IVN655478:IVN655480 JFJ655478:JFJ655480 JPF655478:JPF655480 JZB655478:JZB655480 KIX655478:KIX655480 KST655478:KST655480 LCP655478:LCP655480 LML655478:LML655480 LWH655478:LWH655480 MGD655478:MGD655480 MPZ655478:MPZ655480 MZV655478:MZV655480 NJR655478:NJR655480 NTN655478:NTN655480 ODJ655478:ODJ655480 ONF655478:ONF655480 OXB655478:OXB655480 PGX655478:PGX655480 PQT655478:PQT655480 QAP655478:QAP655480 QKL655478:QKL655480 QUH655478:QUH655480 RED655478:RED655480 RNZ655478:RNZ655480 RXV655478:RXV655480 SHR655478:SHR655480 SRN655478:SRN655480 TBJ655478:TBJ655480 TLF655478:TLF655480 TVB655478:TVB655480 UEX655478:UEX655480 UOT655478:UOT655480 UYP655478:UYP655480 VIL655478:VIL655480 VSH655478:VSH655480 WCD655478:WCD655480 WLZ655478:WLZ655480 WVV655478:WVV655480 N721014:N721016 JJ721014:JJ721016 TF721014:TF721016 ADB721014:ADB721016 AMX721014:AMX721016 AWT721014:AWT721016 BGP721014:BGP721016 BQL721014:BQL721016 CAH721014:CAH721016 CKD721014:CKD721016 CTZ721014:CTZ721016 DDV721014:DDV721016 DNR721014:DNR721016 DXN721014:DXN721016 EHJ721014:EHJ721016 ERF721014:ERF721016 FBB721014:FBB721016 FKX721014:FKX721016 FUT721014:FUT721016 GEP721014:GEP721016 GOL721014:GOL721016 GYH721014:GYH721016 HID721014:HID721016 HRZ721014:HRZ721016 IBV721014:IBV721016 ILR721014:ILR721016 IVN721014:IVN721016 JFJ721014:JFJ721016 JPF721014:JPF721016 JZB721014:JZB721016 KIX721014:KIX721016 KST721014:KST721016 LCP721014:LCP721016 LML721014:LML721016 LWH721014:LWH721016 MGD721014:MGD721016 MPZ721014:MPZ721016 MZV721014:MZV721016 NJR721014:NJR721016 NTN721014:NTN721016 ODJ721014:ODJ721016 ONF721014:ONF721016 OXB721014:OXB721016 PGX721014:PGX721016 PQT721014:PQT721016 QAP721014:QAP721016 QKL721014:QKL721016 QUH721014:QUH721016 RED721014:RED721016 RNZ721014:RNZ721016 RXV721014:RXV721016 SHR721014:SHR721016 SRN721014:SRN721016 TBJ721014:TBJ721016 TLF721014:TLF721016 TVB721014:TVB721016 UEX721014:UEX721016 UOT721014:UOT721016 UYP721014:UYP721016 VIL721014:VIL721016 VSH721014:VSH721016 WCD721014:WCD721016 WLZ721014:WLZ721016 WVV721014:WVV721016 N786550:N786552 JJ786550:JJ786552 TF786550:TF786552 ADB786550:ADB786552 AMX786550:AMX786552 AWT786550:AWT786552 BGP786550:BGP786552 BQL786550:BQL786552 CAH786550:CAH786552 CKD786550:CKD786552 CTZ786550:CTZ786552 DDV786550:DDV786552 DNR786550:DNR786552 DXN786550:DXN786552 EHJ786550:EHJ786552 ERF786550:ERF786552 FBB786550:FBB786552 FKX786550:FKX786552 FUT786550:FUT786552 GEP786550:GEP786552 GOL786550:GOL786552 GYH786550:GYH786552 HID786550:HID786552 HRZ786550:HRZ786552 IBV786550:IBV786552 ILR786550:ILR786552 IVN786550:IVN786552 JFJ786550:JFJ786552 JPF786550:JPF786552 JZB786550:JZB786552 KIX786550:KIX786552 KST786550:KST786552 LCP786550:LCP786552 LML786550:LML786552 LWH786550:LWH786552 MGD786550:MGD786552 MPZ786550:MPZ786552 MZV786550:MZV786552 NJR786550:NJR786552 NTN786550:NTN786552 ODJ786550:ODJ786552 ONF786550:ONF786552 OXB786550:OXB786552 PGX786550:PGX786552 PQT786550:PQT786552 QAP786550:QAP786552 QKL786550:QKL786552 QUH786550:QUH786552 RED786550:RED786552 RNZ786550:RNZ786552 RXV786550:RXV786552 SHR786550:SHR786552 SRN786550:SRN786552 TBJ786550:TBJ786552 TLF786550:TLF786552 TVB786550:TVB786552 UEX786550:UEX786552 UOT786550:UOT786552 UYP786550:UYP786552 VIL786550:VIL786552 VSH786550:VSH786552 WCD786550:WCD786552 WLZ786550:WLZ786552 WVV786550:WVV786552 N852086:N852088 JJ852086:JJ852088 TF852086:TF852088 ADB852086:ADB852088 AMX852086:AMX852088 AWT852086:AWT852088 BGP852086:BGP852088 BQL852086:BQL852088 CAH852086:CAH852088 CKD852086:CKD852088 CTZ852086:CTZ852088 DDV852086:DDV852088 DNR852086:DNR852088 DXN852086:DXN852088 EHJ852086:EHJ852088 ERF852086:ERF852088 FBB852086:FBB852088 FKX852086:FKX852088 FUT852086:FUT852088 GEP852086:GEP852088 GOL852086:GOL852088 GYH852086:GYH852088 HID852086:HID852088 HRZ852086:HRZ852088 IBV852086:IBV852088 ILR852086:ILR852088 IVN852086:IVN852088 JFJ852086:JFJ852088 JPF852086:JPF852088 JZB852086:JZB852088 KIX852086:KIX852088 KST852086:KST852088 LCP852086:LCP852088 LML852086:LML852088 LWH852086:LWH852088 MGD852086:MGD852088 MPZ852086:MPZ852088 MZV852086:MZV852088 NJR852086:NJR852088 NTN852086:NTN852088 ODJ852086:ODJ852088 ONF852086:ONF852088 OXB852086:OXB852088 PGX852086:PGX852088 PQT852086:PQT852088 QAP852086:QAP852088 QKL852086:QKL852088 QUH852086:QUH852088 RED852086:RED852088 RNZ852086:RNZ852088 RXV852086:RXV852088 SHR852086:SHR852088 SRN852086:SRN852088 TBJ852086:TBJ852088 TLF852086:TLF852088 TVB852086:TVB852088 UEX852086:UEX852088 UOT852086:UOT852088 UYP852086:UYP852088 VIL852086:VIL852088 VSH852086:VSH852088 WCD852086:WCD852088 WLZ852086:WLZ852088 WVV852086:WVV852088 N917622:N917624 JJ917622:JJ917624 TF917622:TF917624 ADB917622:ADB917624 AMX917622:AMX917624 AWT917622:AWT917624 BGP917622:BGP917624 BQL917622:BQL917624 CAH917622:CAH917624 CKD917622:CKD917624 CTZ917622:CTZ917624 DDV917622:DDV917624 DNR917622:DNR917624 DXN917622:DXN917624 EHJ917622:EHJ917624 ERF917622:ERF917624 FBB917622:FBB917624 FKX917622:FKX917624 FUT917622:FUT917624 GEP917622:GEP917624 GOL917622:GOL917624 GYH917622:GYH917624 HID917622:HID917624 HRZ917622:HRZ917624 IBV917622:IBV917624 ILR917622:ILR917624 IVN917622:IVN917624 JFJ917622:JFJ917624 JPF917622:JPF917624 JZB917622:JZB917624 KIX917622:KIX917624 KST917622:KST917624 LCP917622:LCP917624 LML917622:LML917624 LWH917622:LWH917624 MGD917622:MGD917624 MPZ917622:MPZ917624 MZV917622:MZV917624 NJR917622:NJR917624 NTN917622:NTN917624 ODJ917622:ODJ917624 ONF917622:ONF917624 OXB917622:OXB917624 PGX917622:PGX917624 PQT917622:PQT917624 QAP917622:QAP917624 QKL917622:QKL917624 QUH917622:QUH917624 RED917622:RED917624 RNZ917622:RNZ917624 RXV917622:RXV917624 SHR917622:SHR917624 SRN917622:SRN917624 TBJ917622:TBJ917624 TLF917622:TLF917624 TVB917622:TVB917624 UEX917622:UEX917624 UOT917622:UOT917624 UYP917622:UYP917624 VIL917622:VIL917624 VSH917622:VSH917624 WCD917622:WCD917624 WLZ917622:WLZ917624 WVV917622:WVV917624 N983158:N983160 JJ983158:JJ983160 TF983158:TF983160 ADB983158:ADB983160 AMX983158:AMX983160 AWT983158:AWT983160 BGP983158:BGP983160 BQL983158:BQL983160 CAH983158:CAH983160 CKD983158:CKD983160 CTZ983158:CTZ983160 DDV983158:DDV983160 DNR983158:DNR983160 DXN983158:DXN983160 EHJ983158:EHJ983160 ERF983158:ERF983160 FBB983158:FBB983160 FKX983158:FKX983160 FUT983158:FUT983160 GEP983158:GEP983160 GOL983158:GOL983160 GYH983158:GYH983160 HID983158:HID983160 HRZ983158:HRZ983160 IBV983158:IBV983160 ILR983158:ILR983160 IVN983158:IVN983160 JFJ983158:JFJ983160 JPF983158:JPF983160 JZB983158:JZB983160 KIX983158:KIX983160 KST983158:KST983160 LCP983158:LCP983160 LML983158:LML983160 LWH983158:LWH983160 MGD983158:MGD983160 MPZ983158:MPZ983160 MZV983158:MZV983160 NJR983158:NJR983160 NTN983158:NTN983160 ODJ983158:ODJ983160 ONF983158:ONF983160 OXB983158:OXB983160 PGX983158:PGX983160 PQT983158:PQT983160 QAP983158:QAP983160 QKL983158:QKL983160 QUH983158:QUH983160 RED983158:RED983160 RNZ983158:RNZ983160 RXV983158:RXV983160 SHR983158:SHR983160 SRN983158:SRN983160 TBJ983158:TBJ983160 TLF983158:TLF983160 TVB983158:TVB983160 UEX983158:UEX983160 UOT983158:UOT983160 UYP983158:UYP983160 VIL983158:VIL983160 VSH983158:VSH983160 WCD983158:WCD983160 WLZ983158:WLZ983160 JJ154:JJ166 TF154:TF166 ADB154:ADB166 AMX154:AMX166 AWT154:AWT166 BGP154:BGP166 BQL154:BQL166 CAH154:CAH166 CKD154:CKD166 CTZ154:CTZ166 DDV154:DDV166 DNR154:DNR166 DXN154:DXN166 EHJ154:EHJ166 ERF154:ERF166 FBB154:FBB166 FKX154:FKX166 FUT154:FUT166 GEP154:GEP166 GOL154:GOL166 GYH154:GYH166 HID154:HID166 HRZ154:HRZ166 IBV154:IBV166 ILR154:ILR166 IVN154:IVN166 JFJ154:JFJ166 JPF154:JPF166 JZB154:JZB166 KIX154:KIX166 KST154:KST166 LCP154:LCP166 LML154:LML166 LWH154:LWH166 MGD154:MGD166 MPZ154:MPZ166 MZV154:MZV166 NJR154:NJR166 NTN154:NTN166 ODJ154:ODJ166 ONF154:ONF166 OXB154:OXB166 PGX154:PGX166 PQT154:PQT166 QAP154:QAP166 QKL154:QKL166 QUH154:QUH166 RED154:RED166 RNZ154:RNZ166 RXV154:RXV166 SHR154:SHR166 SRN154:SRN166 TBJ154:TBJ166 TLF154:TLF166 TVB154:TVB166 UEX154:UEX166 UOT154:UOT166 UYP154:UYP166 VIL154:VIL166 VSH154:VSH166 WCD154:WCD166 WLZ154:WLZ166 WVV154:WVV166 N154:N166 JJ81:JJ128 TF81:TF128 ADB81:ADB128 AMX81:AMX128 AWT81:AWT128 BGP81:BGP128 BQL81:BQL128 CAH81:CAH128 CKD81:CKD128 CTZ81:CTZ128 DDV81:DDV128 DNR81:DNR128 DXN81:DXN128 EHJ81:EHJ128 ERF81:ERF128 FBB81:FBB128 FKX81:FKX128 FUT81:FUT128 GEP81:GEP128 GOL81:GOL128 GYH81:GYH128 HID81:HID128 HRZ81:HRZ128 IBV81:IBV128 ILR81:ILR128 IVN81:IVN128 JFJ81:JFJ128 JPF81:JPF128 JZB81:JZB128 KIX81:KIX128 KST81:KST128 LCP81:LCP128 LML81:LML128 LWH81:LWH128 MGD81:MGD128 MPZ81:MPZ128 MZV81:MZV128 NJR81:NJR128 NTN81:NTN128 ODJ81:ODJ128 ONF81:ONF128 OXB81:OXB128 PGX81:PGX128 PQT81:PQT128 QAP81:QAP128 QKL81:QKL128 QUH81:QUH128 RED81:RED128 RNZ81:RNZ128 RXV81:RXV128 SHR81:SHR128 SRN81:SRN128 TBJ81:TBJ128 TLF81:TLF128 TVB81:TVB128 UEX81:UEX128 UOT81:UOT128 UYP81:UYP128 VIL81:VIL128 VSH81:VSH128 WCD81:WCD128 WLZ81:WLZ128 WVV81:WVV128 N81:N128">
      <formula1>$P$26:$P$28</formula1>
    </dataValidation>
    <dataValidation type="list" allowBlank="1" showInputMessage="1" showErrorMessage="1" sqref="WVX983158:WVX983160 P65654:P65656 JL65654:JL65656 TH65654:TH65656 ADD65654:ADD65656 AMZ65654:AMZ65656 AWV65654:AWV65656 BGR65654:BGR65656 BQN65654:BQN65656 CAJ65654:CAJ65656 CKF65654:CKF65656 CUB65654:CUB65656 DDX65654:DDX65656 DNT65654:DNT65656 DXP65654:DXP65656 EHL65654:EHL65656 ERH65654:ERH65656 FBD65654:FBD65656 FKZ65654:FKZ65656 FUV65654:FUV65656 GER65654:GER65656 GON65654:GON65656 GYJ65654:GYJ65656 HIF65654:HIF65656 HSB65654:HSB65656 IBX65654:IBX65656 ILT65654:ILT65656 IVP65654:IVP65656 JFL65654:JFL65656 JPH65654:JPH65656 JZD65654:JZD65656 KIZ65654:KIZ65656 KSV65654:KSV65656 LCR65654:LCR65656 LMN65654:LMN65656 LWJ65654:LWJ65656 MGF65654:MGF65656 MQB65654:MQB65656 MZX65654:MZX65656 NJT65654:NJT65656 NTP65654:NTP65656 ODL65654:ODL65656 ONH65654:ONH65656 OXD65654:OXD65656 PGZ65654:PGZ65656 PQV65654:PQV65656 QAR65654:QAR65656 QKN65654:QKN65656 QUJ65654:QUJ65656 REF65654:REF65656 ROB65654:ROB65656 RXX65654:RXX65656 SHT65654:SHT65656 SRP65654:SRP65656 TBL65654:TBL65656 TLH65654:TLH65656 TVD65654:TVD65656 UEZ65654:UEZ65656 UOV65654:UOV65656 UYR65654:UYR65656 VIN65654:VIN65656 VSJ65654:VSJ65656 WCF65654:WCF65656 WMB65654:WMB65656 WVX65654:WVX65656 P131190:P131192 JL131190:JL131192 TH131190:TH131192 ADD131190:ADD131192 AMZ131190:AMZ131192 AWV131190:AWV131192 BGR131190:BGR131192 BQN131190:BQN131192 CAJ131190:CAJ131192 CKF131190:CKF131192 CUB131190:CUB131192 DDX131190:DDX131192 DNT131190:DNT131192 DXP131190:DXP131192 EHL131190:EHL131192 ERH131190:ERH131192 FBD131190:FBD131192 FKZ131190:FKZ131192 FUV131190:FUV131192 GER131190:GER131192 GON131190:GON131192 GYJ131190:GYJ131192 HIF131190:HIF131192 HSB131190:HSB131192 IBX131190:IBX131192 ILT131190:ILT131192 IVP131190:IVP131192 JFL131190:JFL131192 JPH131190:JPH131192 JZD131190:JZD131192 KIZ131190:KIZ131192 KSV131190:KSV131192 LCR131190:LCR131192 LMN131190:LMN131192 LWJ131190:LWJ131192 MGF131190:MGF131192 MQB131190:MQB131192 MZX131190:MZX131192 NJT131190:NJT131192 NTP131190:NTP131192 ODL131190:ODL131192 ONH131190:ONH131192 OXD131190:OXD131192 PGZ131190:PGZ131192 PQV131190:PQV131192 QAR131190:QAR131192 QKN131190:QKN131192 QUJ131190:QUJ131192 REF131190:REF131192 ROB131190:ROB131192 RXX131190:RXX131192 SHT131190:SHT131192 SRP131190:SRP131192 TBL131190:TBL131192 TLH131190:TLH131192 TVD131190:TVD131192 UEZ131190:UEZ131192 UOV131190:UOV131192 UYR131190:UYR131192 VIN131190:VIN131192 VSJ131190:VSJ131192 WCF131190:WCF131192 WMB131190:WMB131192 WVX131190:WVX131192 P196726:P196728 JL196726:JL196728 TH196726:TH196728 ADD196726:ADD196728 AMZ196726:AMZ196728 AWV196726:AWV196728 BGR196726:BGR196728 BQN196726:BQN196728 CAJ196726:CAJ196728 CKF196726:CKF196728 CUB196726:CUB196728 DDX196726:DDX196728 DNT196726:DNT196728 DXP196726:DXP196728 EHL196726:EHL196728 ERH196726:ERH196728 FBD196726:FBD196728 FKZ196726:FKZ196728 FUV196726:FUV196728 GER196726:GER196728 GON196726:GON196728 GYJ196726:GYJ196728 HIF196726:HIF196728 HSB196726:HSB196728 IBX196726:IBX196728 ILT196726:ILT196728 IVP196726:IVP196728 JFL196726:JFL196728 JPH196726:JPH196728 JZD196726:JZD196728 KIZ196726:KIZ196728 KSV196726:KSV196728 LCR196726:LCR196728 LMN196726:LMN196728 LWJ196726:LWJ196728 MGF196726:MGF196728 MQB196726:MQB196728 MZX196726:MZX196728 NJT196726:NJT196728 NTP196726:NTP196728 ODL196726:ODL196728 ONH196726:ONH196728 OXD196726:OXD196728 PGZ196726:PGZ196728 PQV196726:PQV196728 QAR196726:QAR196728 QKN196726:QKN196728 QUJ196726:QUJ196728 REF196726:REF196728 ROB196726:ROB196728 RXX196726:RXX196728 SHT196726:SHT196728 SRP196726:SRP196728 TBL196726:TBL196728 TLH196726:TLH196728 TVD196726:TVD196728 UEZ196726:UEZ196728 UOV196726:UOV196728 UYR196726:UYR196728 VIN196726:VIN196728 VSJ196726:VSJ196728 WCF196726:WCF196728 WMB196726:WMB196728 WVX196726:WVX196728 P262262:P262264 JL262262:JL262264 TH262262:TH262264 ADD262262:ADD262264 AMZ262262:AMZ262264 AWV262262:AWV262264 BGR262262:BGR262264 BQN262262:BQN262264 CAJ262262:CAJ262264 CKF262262:CKF262264 CUB262262:CUB262264 DDX262262:DDX262264 DNT262262:DNT262264 DXP262262:DXP262264 EHL262262:EHL262264 ERH262262:ERH262264 FBD262262:FBD262264 FKZ262262:FKZ262264 FUV262262:FUV262264 GER262262:GER262264 GON262262:GON262264 GYJ262262:GYJ262264 HIF262262:HIF262264 HSB262262:HSB262264 IBX262262:IBX262264 ILT262262:ILT262264 IVP262262:IVP262264 JFL262262:JFL262264 JPH262262:JPH262264 JZD262262:JZD262264 KIZ262262:KIZ262264 KSV262262:KSV262264 LCR262262:LCR262264 LMN262262:LMN262264 LWJ262262:LWJ262264 MGF262262:MGF262264 MQB262262:MQB262264 MZX262262:MZX262264 NJT262262:NJT262264 NTP262262:NTP262264 ODL262262:ODL262264 ONH262262:ONH262264 OXD262262:OXD262264 PGZ262262:PGZ262264 PQV262262:PQV262264 QAR262262:QAR262264 QKN262262:QKN262264 QUJ262262:QUJ262264 REF262262:REF262264 ROB262262:ROB262264 RXX262262:RXX262264 SHT262262:SHT262264 SRP262262:SRP262264 TBL262262:TBL262264 TLH262262:TLH262264 TVD262262:TVD262264 UEZ262262:UEZ262264 UOV262262:UOV262264 UYR262262:UYR262264 VIN262262:VIN262264 VSJ262262:VSJ262264 WCF262262:WCF262264 WMB262262:WMB262264 WVX262262:WVX262264 P327798:P327800 JL327798:JL327800 TH327798:TH327800 ADD327798:ADD327800 AMZ327798:AMZ327800 AWV327798:AWV327800 BGR327798:BGR327800 BQN327798:BQN327800 CAJ327798:CAJ327800 CKF327798:CKF327800 CUB327798:CUB327800 DDX327798:DDX327800 DNT327798:DNT327800 DXP327798:DXP327800 EHL327798:EHL327800 ERH327798:ERH327800 FBD327798:FBD327800 FKZ327798:FKZ327800 FUV327798:FUV327800 GER327798:GER327800 GON327798:GON327800 GYJ327798:GYJ327800 HIF327798:HIF327800 HSB327798:HSB327800 IBX327798:IBX327800 ILT327798:ILT327800 IVP327798:IVP327800 JFL327798:JFL327800 JPH327798:JPH327800 JZD327798:JZD327800 KIZ327798:KIZ327800 KSV327798:KSV327800 LCR327798:LCR327800 LMN327798:LMN327800 LWJ327798:LWJ327800 MGF327798:MGF327800 MQB327798:MQB327800 MZX327798:MZX327800 NJT327798:NJT327800 NTP327798:NTP327800 ODL327798:ODL327800 ONH327798:ONH327800 OXD327798:OXD327800 PGZ327798:PGZ327800 PQV327798:PQV327800 QAR327798:QAR327800 QKN327798:QKN327800 QUJ327798:QUJ327800 REF327798:REF327800 ROB327798:ROB327800 RXX327798:RXX327800 SHT327798:SHT327800 SRP327798:SRP327800 TBL327798:TBL327800 TLH327798:TLH327800 TVD327798:TVD327800 UEZ327798:UEZ327800 UOV327798:UOV327800 UYR327798:UYR327800 VIN327798:VIN327800 VSJ327798:VSJ327800 WCF327798:WCF327800 WMB327798:WMB327800 WVX327798:WVX327800 P393334:P393336 JL393334:JL393336 TH393334:TH393336 ADD393334:ADD393336 AMZ393334:AMZ393336 AWV393334:AWV393336 BGR393334:BGR393336 BQN393334:BQN393336 CAJ393334:CAJ393336 CKF393334:CKF393336 CUB393334:CUB393336 DDX393334:DDX393336 DNT393334:DNT393336 DXP393334:DXP393336 EHL393334:EHL393336 ERH393334:ERH393336 FBD393334:FBD393336 FKZ393334:FKZ393336 FUV393334:FUV393336 GER393334:GER393336 GON393334:GON393336 GYJ393334:GYJ393336 HIF393334:HIF393336 HSB393334:HSB393336 IBX393334:IBX393336 ILT393334:ILT393336 IVP393334:IVP393336 JFL393334:JFL393336 JPH393334:JPH393336 JZD393334:JZD393336 KIZ393334:KIZ393336 KSV393334:KSV393336 LCR393334:LCR393336 LMN393334:LMN393336 LWJ393334:LWJ393336 MGF393334:MGF393336 MQB393334:MQB393336 MZX393334:MZX393336 NJT393334:NJT393336 NTP393334:NTP393336 ODL393334:ODL393336 ONH393334:ONH393336 OXD393334:OXD393336 PGZ393334:PGZ393336 PQV393334:PQV393336 QAR393334:QAR393336 QKN393334:QKN393336 QUJ393334:QUJ393336 REF393334:REF393336 ROB393334:ROB393336 RXX393334:RXX393336 SHT393334:SHT393336 SRP393334:SRP393336 TBL393334:TBL393336 TLH393334:TLH393336 TVD393334:TVD393336 UEZ393334:UEZ393336 UOV393334:UOV393336 UYR393334:UYR393336 VIN393334:VIN393336 VSJ393334:VSJ393336 WCF393334:WCF393336 WMB393334:WMB393336 WVX393334:WVX393336 P458870:P458872 JL458870:JL458872 TH458870:TH458872 ADD458870:ADD458872 AMZ458870:AMZ458872 AWV458870:AWV458872 BGR458870:BGR458872 BQN458870:BQN458872 CAJ458870:CAJ458872 CKF458870:CKF458872 CUB458870:CUB458872 DDX458870:DDX458872 DNT458870:DNT458872 DXP458870:DXP458872 EHL458870:EHL458872 ERH458870:ERH458872 FBD458870:FBD458872 FKZ458870:FKZ458872 FUV458870:FUV458872 GER458870:GER458872 GON458870:GON458872 GYJ458870:GYJ458872 HIF458870:HIF458872 HSB458870:HSB458872 IBX458870:IBX458872 ILT458870:ILT458872 IVP458870:IVP458872 JFL458870:JFL458872 JPH458870:JPH458872 JZD458870:JZD458872 KIZ458870:KIZ458872 KSV458870:KSV458872 LCR458870:LCR458872 LMN458870:LMN458872 LWJ458870:LWJ458872 MGF458870:MGF458872 MQB458870:MQB458872 MZX458870:MZX458872 NJT458870:NJT458872 NTP458870:NTP458872 ODL458870:ODL458872 ONH458870:ONH458872 OXD458870:OXD458872 PGZ458870:PGZ458872 PQV458870:PQV458872 QAR458870:QAR458872 QKN458870:QKN458872 QUJ458870:QUJ458872 REF458870:REF458872 ROB458870:ROB458872 RXX458870:RXX458872 SHT458870:SHT458872 SRP458870:SRP458872 TBL458870:TBL458872 TLH458870:TLH458872 TVD458870:TVD458872 UEZ458870:UEZ458872 UOV458870:UOV458872 UYR458870:UYR458872 VIN458870:VIN458872 VSJ458870:VSJ458872 WCF458870:WCF458872 WMB458870:WMB458872 WVX458870:WVX458872 P524406:P524408 JL524406:JL524408 TH524406:TH524408 ADD524406:ADD524408 AMZ524406:AMZ524408 AWV524406:AWV524408 BGR524406:BGR524408 BQN524406:BQN524408 CAJ524406:CAJ524408 CKF524406:CKF524408 CUB524406:CUB524408 DDX524406:DDX524408 DNT524406:DNT524408 DXP524406:DXP524408 EHL524406:EHL524408 ERH524406:ERH524408 FBD524406:FBD524408 FKZ524406:FKZ524408 FUV524406:FUV524408 GER524406:GER524408 GON524406:GON524408 GYJ524406:GYJ524408 HIF524406:HIF524408 HSB524406:HSB524408 IBX524406:IBX524408 ILT524406:ILT524408 IVP524406:IVP524408 JFL524406:JFL524408 JPH524406:JPH524408 JZD524406:JZD524408 KIZ524406:KIZ524408 KSV524406:KSV524408 LCR524406:LCR524408 LMN524406:LMN524408 LWJ524406:LWJ524408 MGF524406:MGF524408 MQB524406:MQB524408 MZX524406:MZX524408 NJT524406:NJT524408 NTP524406:NTP524408 ODL524406:ODL524408 ONH524406:ONH524408 OXD524406:OXD524408 PGZ524406:PGZ524408 PQV524406:PQV524408 QAR524406:QAR524408 QKN524406:QKN524408 QUJ524406:QUJ524408 REF524406:REF524408 ROB524406:ROB524408 RXX524406:RXX524408 SHT524406:SHT524408 SRP524406:SRP524408 TBL524406:TBL524408 TLH524406:TLH524408 TVD524406:TVD524408 UEZ524406:UEZ524408 UOV524406:UOV524408 UYR524406:UYR524408 VIN524406:VIN524408 VSJ524406:VSJ524408 WCF524406:WCF524408 WMB524406:WMB524408 WVX524406:WVX524408 P589942:P589944 JL589942:JL589944 TH589942:TH589944 ADD589942:ADD589944 AMZ589942:AMZ589944 AWV589942:AWV589944 BGR589942:BGR589944 BQN589942:BQN589944 CAJ589942:CAJ589944 CKF589942:CKF589944 CUB589942:CUB589944 DDX589942:DDX589944 DNT589942:DNT589944 DXP589942:DXP589944 EHL589942:EHL589944 ERH589942:ERH589944 FBD589942:FBD589944 FKZ589942:FKZ589944 FUV589942:FUV589944 GER589942:GER589944 GON589942:GON589944 GYJ589942:GYJ589944 HIF589942:HIF589944 HSB589942:HSB589944 IBX589942:IBX589944 ILT589942:ILT589944 IVP589942:IVP589944 JFL589942:JFL589944 JPH589942:JPH589944 JZD589942:JZD589944 KIZ589942:KIZ589944 KSV589942:KSV589944 LCR589942:LCR589944 LMN589942:LMN589944 LWJ589942:LWJ589944 MGF589942:MGF589944 MQB589942:MQB589944 MZX589942:MZX589944 NJT589942:NJT589944 NTP589942:NTP589944 ODL589942:ODL589944 ONH589942:ONH589944 OXD589942:OXD589944 PGZ589942:PGZ589944 PQV589942:PQV589944 QAR589942:QAR589944 QKN589942:QKN589944 QUJ589942:QUJ589944 REF589942:REF589944 ROB589942:ROB589944 RXX589942:RXX589944 SHT589942:SHT589944 SRP589942:SRP589944 TBL589942:TBL589944 TLH589942:TLH589944 TVD589942:TVD589944 UEZ589942:UEZ589944 UOV589942:UOV589944 UYR589942:UYR589944 VIN589942:VIN589944 VSJ589942:VSJ589944 WCF589942:WCF589944 WMB589942:WMB589944 WVX589942:WVX589944 P655478:P655480 JL655478:JL655480 TH655478:TH655480 ADD655478:ADD655480 AMZ655478:AMZ655480 AWV655478:AWV655480 BGR655478:BGR655480 BQN655478:BQN655480 CAJ655478:CAJ655480 CKF655478:CKF655480 CUB655478:CUB655480 DDX655478:DDX655480 DNT655478:DNT655480 DXP655478:DXP655480 EHL655478:EHL655480 ERH655478:ERH655480 FBD655478:FBD655480 FKZ655478:FKZ655480 FUV655478:FUV655480 GER655478:GER655480 GON655478:GON655480 GYJ655478:GYJ655480 HIF655478:HIF655480 HSB655478:HSB655480 IBX655478:IBX655480 ILT655478:ILT655480 IVP655478:IVP655480 JFL655478:JFL655480 JPH655478:JPH655480 JZD655478:JZD655480 KIZ655478:KIZ655480 KSV655478:KSV655480 LCR655478:LCR655480 LMN655478:LMN655480 LWJ655478:LWJ655480 MGF655478:MGF655480 MQB655478:MQB655480 MZX655478:MZX655480 NJT655478:NJT655480 NTP655478:NTP655480 ODL655478:ODL655480 ONH655478:ONH655480 OXD655478:OXD655480 PGZ655478:PGZ655480 PQV655478:PQV655480 QAR655478:QAR655480 QKN655478:QKN655480 QUJ655478:QUJ655480 REF655478:REF655480 ROB655478:ROB655480 RXX655478:RXX655480 SHT655478:SHT655480 SRP655478:SRP655480 TBL655478:TBL655480 TLH655478:TLH655480 TVD655478:TVD655480 UEZ655478:UEZ655480 UOV655478:UOV655480 UYR655478:UYR655480 VIN655478:VIN655480 VSJ655478:VSJ655480 WCF655478:WCF655480 WMB655478:WMB655480 WVX655478:WVX655480 P721014:P721016 JL721014:JL721016 TH721014:TH721016 ADD721014:ADD721016 AMZ721014:AMZ721016 AWV721014:AWV721016 BGR721014:BGR721016 BQN721014:BQN721016 CAJ721014:CAJ721016 CKF721014:CKF721016 CUB721014:CUB721016 DDX721014:DDX721016 DNT721014:DNT721016 DXP721014:DXP721016 EHL721014:EHL721016 ERH721014:ERH721016 FBD721014:FBD721016 FKZ721014:FKZ721016 FUV721014:FUV721016 GER721014:GER721016 GON721014:GON721016 GYJ721014:GYJ721016 HIF721014:HIF721016 HSB721014:HSB721016 IBX721014:IBX721016 ILT721014:ILT721016 IVP721014:IVP721016 JFL721014:JFL721016 JPH721014:JPH721016 JZD721014:JZD721016 KIZ721014:KIZ721016 KSV721014:KSV721016 LCR721014:LCR721016 LMN721014:LMN721016 LWJ721014:LWJ721016 MGF721014:MGF721016 MQB721014:MQB721016 MZX721014:MZX721016 NJT721014:NJT721016 NTP721014:NTP721016 ODL721014:ODL721016 ONH721014:ONH721016 OXD721014:OXD721016 PGZ721014:PGZ721016 PQV721014:PQV721016 QAR721014:QAR721016 QKN721014:QKN721016 QUJ721014:QUJ721016 REF721014:REF721016 ROB721014:ROB721016 RXX721014:RXX721016 SHT721014:SHT721016 SRP721014:SRP721016 TBL721014:TBL721016 TLH721014:TLH721016 TVD721014:TVD721016 UEZ721014:UEZ721016 UOV721014:UOV721016 UYR721014:UYR721016 VIN721014:VIN721016 VSJ721014:VSJ721016 WCF721014:WCF721016 WMB721014:WMB721016 WVX721014:WVX721016 P786550:P786552 JL786550:JL786552 TH786550:TH786552 ADD786550:ADD786552 AMZ786550:AMZ786552 AWV786550:AWV786552 BGR786550:BGR786552 BQN786550:BQN786552 CAJ786550:CAJ786552 CKF786550:CKF786552 CUB786550:CUB786552 DDX786550:DDX786552 DNT786550:DNT786552 DXP786550:DXP786552 EHL786550:EHL786552 ERH786550:ERH786552 FBD786550:FBD786552 FKZ786550:FKZ786552 FUV786550:FUV786552 GER786550:GER786552 GON786550:GON786552 GYJ786550:GYJ786552 HIF786550:HIF786552 HSB786550:HSB786552 IBX786550:IBX786552 ILT786550:ILT786552 IVP786550:IVP786552 JFL786550:JFL786552 JPH786550:JPH786552 JZD786550:JZD786552 KIZ786550:KIZ786552 KSV786550:KSV786552 LCR786550:LCR786552 LMN786550:LMN786552 LWJ786550:LWJ786552 MGF786550:MGF786552 MQB786550:MQB786552 MZX786550:MZX786552 NJT786550:NJT786552 NTP786550:NTP786552 ODL786550:ODL786552 ONH786550:ONH786552 OXD786550:OXD786552 PGZ786550:PGZ786552 PQV786550:PQV786552 QAR786550:QAR786552 QKN786550:QKN786552 QUJ786550:QUJ786552 REF786550:REF786552 ROB786550:ROB786552 RXX786550:RXX786552 SHT786550:SHT786552 SRP786550:SRP786552 TBL786550:TBL786552 TLH786550:TLH786552 TVD786550:TVD786552 UEZ786550:UEZ786552 UOV786550:UOV786552 UYR786550:UYR786552 VIN786550:VIN786552 VSJ786550:VSJ786552 WCF786550:WCF786552 WMB786550:WMB786552 WVX786550:WVX786552 P852086:P852088 JL852086:JL852088 TH852086:TH852088 ADD852086:ADD852088 AMZ852086:AMZ852088 AWV852086:AWV852088 BGR852086:BGR852088 BQN852086:BQN852088 CAJ852086:CAJ852088 CKF852086:CKF852088 CUB852086:CUB852088 DDX852086:DDX852088 DNT852086:DNT852088 DXP852086:DXP852088 EHL852086:EHL852088 ERH852086:ERH852088 FBD852086:FBD852088 FKZ852086:FKZ852088 FUV852086:FUV852088 GER852086:GER852088 GON852086:GON852088 GYJ852086:GYJ852088 HIF852086:HIF852088 HSB852086:HSB852088 IBX852086:IBX852088 ILT852086:ILT852088 IVP852086:IVP852088 JFL852086:JFL852088 JPH852086:JPH852088 JZD852086:JZD852088 KIZ852086:KIZ852088 KSV852086:KSV852088 LCR852086:LCR852088 LMN852086:LMN852088 LWJ852086:LWJ852088 MGF852086:MGF852088 MQB852086:MQB852088 MZX852086:MZX852088 NJT852086:NJT852088 NTP852086:NTP852088 ODL852086:ODL852088 ONH852086:ONH852088 OXD852086:OXD852088 PGZ852086:PGZ852088 PQV852086:PQV852088 QAR852086:QAR852088 QKN852086:QKN852088 QUJ852086:QUJ852088 REF852086:REF852088 ROB852086:ROB852088 RXX852086:RXX852088 SHT852086:SHT852088 SRP852086:SRP852088 TBL852086:TBL852088 TLH852086:TLH852088 TVD852086:TVD852088 UEZ852086:UEZ852088 UOV852086:UOV852088 UYR852086:UYR852088 VIN852086:VIN852088 VSJ852086:VSJ852088 WCF852086:WCF852088 WMB852086:WMB852088 WVX852086:WVX852088 P917622:P917624 JL917622:JL917624 TH917622:TH917624 ADD917622:ADD917624 AMZ917622:AMZ917624 AWV917622:AWV917624 BGR917622:BGR917624 BQN917622:BQN917624 CAJ917622:CAJ917624 CKF917622:CKF917624 CUB917622:CUB917624 DDX917622:DDX917624 DNT917622:DNT917624 DXP917622:DXP917624 EHL917622:EHL917624 ERH917622:ERH917624 FBD917622:FBD917624 FKZ917622:FKZ917624 FUV917622:FUV917624 GER917622:GER917624 GON917622:GON917624 GYJ917622:GYJ917624 HIF917622:HIF917624 HSB917622:HSB917624 IBX917622:IBX917624 ILT917622:ILT917624 IVP917622:IVP917624 JFL917622:JFL917624 JPH917622:JPH917624 JZD917622:JZD917624 KIZ917622:KIZ917624 KSV917622:KSV917624 LCR917622:LCR917624 LMN917622:LMN917624 LWJ917622:LWJ917624 MGF917622:MGF917624 MQB917622:MQB917624 MZX917622:MZX917624 NJT917622:NJT917624 NTP917622:NTP917624 ODL917622:ODL917624 ONH917622:ONH917624 OXD917622:OXD917624 PGZ917622:PGZ917624 PQV917622:PQV917624 QAR917622:QAR917624 QKN917622:QKN917624 QUJ917622:QUJ917624 REF917622:REF917624 ROB917622:ROB917624 RXX917622:RXX917624 SHT917622:SHT917624 SRP917622:SRP917624 TBL917622:TBL917624 TLH917622:TLH917624 TVD917622:TVD917624 UEZ917622:UEZ917624 UOV917622:UOV917624 UYR917622:UYR917624 VIN917622:VIN917624 VSJ917622:VSJ917624 WCF917622:WCF917624 WMB917622:WMB917624 WVX917622:WVX917624 P983158:P983160 JL983158:JL983160 TH983158:TH983160 ADD983158:ADD983160 AMZ983158:AMZ983160 AWV983158:AWV983160 BGR983158:BGR983160 BQN983158:BQN983160 CAJ983158:CAJ983160 CKF983158:CKF983160 CUB983158:CUB983160 DDX983158:DDX983160 DNT983158:DNT983160 DXP983158:DXP983160 EHL983158:EHL983160 ERH983158:ERH983160 FBD983158:FBD983160 FKZ983158:FKZ983160 FUV983158:FUV983160 GER983158:GER983160 GON983158:GON983160 GYJ983158:GYJ983160 HIF983158:HIF983160 HSB983158:HSB983160 IBX983158:IBX983160 ILT983158:ILT983160 IVP983158:IVP983160 JFL983158:JFL983160 JPH983158:JPH983160 JZD983158:JZD983160 KIZ983158:KIZ983160 KSV983158:KSV983160 LCR983158:LCR983160 LMN983158:LMN983160 LWJ983158:LWJ983160 MGF983158:MGF983160 MQB983158:MQB983160 MZX983158:MZX983160 NJT983158:NJT983160 NTP983158:NTP983160 ODL983158:ODL983160 ONH983158:ONH983160 OXD983158:OXD983160 PGZ983158:PGZ983160 PQV983158:PQV983160 QAR983158:QAR983160 QKN983158:QKN983160 QUJ983158:QUJ983160 REF983158:REF983160 ROB983158:ROB983160 RXX983158:RXX983160 SHT983158:SHT983160 SRP983158:SRP983160 TBL983158:TBL983160 TLH983158:TLH983160 TVD983158:TVD983160 UEZ983158:UEZ983160 UOV983158:UOV983160 UYR983158:UYR983160 VIN983158:VIN983160 VSJ983158:VSJ983160 WCF983158:WCF983160 WMB983158:WMB983160 JL154:JL166 TH154:TH166 ADD154:ADD166 AMZ154:AMZ166 AWV154:AWV166 BGR154:BGR166 BQN154:BQN166 CAJ154:CAJ166 CKF154:CKF166 CUB154:CUB166 DDX154:DDX166 DNT154:DNT166 DXP154:DXP166 EHL154:EHL166 ERH154:ERH166 FBD154:FBD166 FKZ154:FKZ166 FUV154:FUV166 GER154:GER166 GON154:GON166 GYJ154:GYJ166 HIF154:HIF166 HSB154:HSB166 IBX154:IBX166 ILT154:ILT166 IVP154:IVP166 JFL154:JFL166 JPH154:JPH166 JZD154:JZD166 KIZ154:KIZ166 KSV154:KSV166 LCR154:LCR166 LMN154:LMN166 LWJ154:LWJ166 MGF154:MGF166 MQB154:MQB166 MZX154:MZX166 NJT154:NJT166 NTP154:NTP166 ODL154:ODL166 ONH154:ONH166 OXD154:OXD166 PGZ154:PGZ166 PQV154:PQV166 QAR154:QAR166 QKN154:QKN166 QUJ154:QUJ166 REF154:REF166 ROB154:ROB166 RXX154:RXX166 SHT154:SHT166 SRP154:SRP166 TBL154:TBL166 TLH154:TLH166 TVD154:TVD166 UEZ154:UEZ166 UOV154:UOV166 UYR154:UYR166 VIN154:VIN166 VSJ154:VSJ166 WCF154:WCF166 WMB154:WMB166 WVX154:WVX166 P154:P166 JL81:JL128 TH81:TH128 ADD81:ADD128 AMZ81:AMZ128 AWV81:AWV128 BGR81:BGR128 BQN81:BQN128 CAJ81:CAJ128 CKF81:CKF128 CUB81:CUB128 DDX81:DDX128 DNT81:DNT128 DXP81:DXP128 EHL81:EHL128 ERH81:ERH128 FBD81:FBD128 FKZ81:FKZ128 FUV81:FUV128 GER81:GER128 GON81:GON128 GYJ81:GYJ128 HIF81:HIF128 HSB81:HSB128 IBX81:IBX128 ILT81:ILT128 IVP81:IVP128 JFL81:JFL128 JPH81:JPH128 JZD81:JZD128 KIZ81:KIZ128 KSV81:KSV128 LCR81:LCR128 LMN81:LMN128 LWJ81:LWJ128 MGF81:MGF128 MQB81:MQB128 MZX81:MZX128 NJT81:NJT128 NTP81:NTP128 ODL81:ODL128 ONH81:ONH128 OXD81:OXD128 PGZ81:PGZ128 PQV81:PQV128 QAR81:QAR128 QKN81:QKN128 QUJ81:QUJ128 REF81:REF128 ROB81:ROB128 RXX81:RXX128 SHT81:SHT128 SRP81:SRP128 TBL81:TBL128 TLH81:TLH128 TVD81:TVD128 UEZ81:UEZ128 UOV81:UOV128 UYR81:UYR128 VIN81:VIN128 VSJ81:VSJ128 WCF81:WCF128 WMB81:WMB128 WVX81:WVX128 P81:P128">
      <formula1>$N$26:$N$29</formula1>
    </dataValidation>
    <dataValidation type="decimal" operator="greaterThan" allowBlank="1" showInputMessage="1" showErrorMessage="1" sqref="C65703 JA65701 SW65701 ACS65701 AMO65701 AWK65701 BGG65701 BQC65701 BZY65701 CJU65701 CTQ65701 DDM65701 DNI65701 DXE65701 EHA65701 EQW65701 FAS65701 FKO65701 FUK65701 GEG65701 GOC65701 GXY65701 HHU65701 HRQ65701 IBM65701 ILI65701 IVE65701 JFA65701 JOW65701 JYS65701 KIO65701 KSK65701 LCG65701 LMC65701 LVY65701 MFU65701 MPQ65701 MZM65701 NJI65701 NTE65701 ODA65701 OMW65701 OWS65701 PGO65701 PQK65701 QAG65701 QKC65701 QTY65701 RDU65701 RNQ65701 RXM65701 SHI65701 SRE65701 TBA65701 TKW65701 TUS65701 UEO65701 UOK65701 UYG65701 VIC65701 VRY65701 WBU65701 WLQ65701 WVM65701 C131239 JA131237 SW131237 ACS131237 AMO131237 AWK131237 BGG131237 BQC131237 BZY131237 CJU131237 CTQ131237 DDM131237 DNI131237 DXE131237 EHA131237 EQW131237 FAS131237 FKO131237 FUK131237 GEG131237 GOC131237 GXY131237 HHU131237 HRQ131237 IBM131237 ILI131237 IVE131237 JFA131237 JOW131237 JYS131237 KIO131237 KSK131237 LCG131237 LMC131237 LVY131237 MFU131237 MPQ131237 MZM131237 NJI131237 NTE131237 ODA131237 OMW131237 OWS131237 PGO131237 PQK131237 QAG131237 QKC131237 QTY131237 RDU131237 RNQ131237 RXM131237 SHI131237 SRE131237 TBA131237 TKW131237 TUS131237 UEO131237 UOK131237 UYG131237 VIC131237 VRY131237 WBU131237 WLQ131237 WVM131237 C196775 JA196773 SW196773 ACS196773 AMO196773 AWK196773 BGG196773 BQC196773 BZY196773 CJU196773 CTQ196773 DDM196773 DNI196773 DXE196773 EHA196773 EQW196773 FAS196773 FKO196773 FUK196773 GEG196773 GOC196773 GXY196773 HHU196773 HRQ196773 IBM196773 ILI196773 IVE196773 JFA196773 JOW196773 JYS196773 KIO196773 KSK196773 LCG196773 LMC196773 LVY196773 MFU196773 MPQ196773 MZM196773 NJI196773 NTE196773 ODA196773 OMW196773 OWS196773 PGO196773 PQK196773 QAG196773 QKC196773 QTY196773 RDU196773 RNQ196773 RXM196773 SHI196773 SRE196773 TBA196773 TKW196773 TUS196773 UEO196773 UOK196773 UYG196773 VIC196773 VRY196773 WBU196773 WLQ196773 WVM196773 C262311 JA262309 SW262309 ACS262309 AMO262309 AWK262309 BGG262309 BQC262309 BZY262309 CJU262309 CTQ262309 DDM262309 DNI262309 DXE262309 EHA262309 EQW262309 FAS262309 FKO262309 FUK262309 GEG262309 GOC262309 GXY262309 HHU262309 HRQ262309 IBM262309 ILI262309 IVE262309 JFA262309 JOW262309 JYS262309 KIO262309 KSK262309 LCG262309 LMC262309 LVY262309 MFU262309 MPQ262309 MZM262309 NJI262309 NTE262309 ODA262309 OMW262309 OWS262309 PGO262309 PQK262309 QAG262309 QKC262309 QTY262309 RDU262309 RNQ262309 RXM262309 SHI262309 SRE262309 TBA262309 TKW262309 TUS262309 UEO262309 UOK262309 UYG262309 VIC262309 VRY262309 WBU262309 WLQ262309 WVM262309 C327847 JA327845 SW327845 ACS327845 AMO327845 AWK327845 BGG327845 BQC327845 BZY327845 CJU327845 CTQ327845 DDM327845 DNI327845 DXE327845 EHA327845 EQW327845 FAS327845 FKO327845 FUK327845 GEG327845 GOC327845 GXY327845 HHU327845 HRQ327845 IBM327845 ILI327845 IVE327845 JFA327845 JOW327845 JYS327845 KIO327845 KSK327845 LCG327845 LMC327845 LVY327845 MFU327845 MPQ327845 MZM327845 NJI327845 NTE327845 ODA327845 OMW327845 OWS327845 PGO327845 PQK327845 QAG327845 QKC327845 QTY327845 RDU327845 RNQ327845 RXM327845 SHI327845 SRE327845 TBA327845 TKW327845 TUS327845 UEO327845 UOK327845 UYG327845 VIC327845 VRY327845 WBU327845 WLQ327845 WVM327845 C393383 JA393381 SW393381 ACS393381 AMO393381 AWK393381 BGG393381 BQC393381 BZY393381 CJU393381 CTQ393381 DDM393381 DNI393381 DXE393381 EHA393381 EQW393381 FAS393381 FKO393381 FUK393381 GEG393381 GOC393381 GXY393381 HHU393381 HRQ393381 IBM393381 ILI393381 IVE393381 JFA393381 JOW393381 JYS393381 KIO393381 KSK393381 LCG393381 LMC393381 LVY393381 MFU393381 MPQ393381 MZM393381 NJI393381 NTE393381 ODA393381 OMW393381 OWS393381 PGO393381 PQK393381 QAG393381 QKC393381 QTY393381 RDU393381 RNQ393381 RXM393381 SHI393381 SRE393381 TBA393381 TKW393381 TUS393381 UEO393381 UOK393381 UYG393381 VIC393381 VRY393381 WBU393381 WLQ393381 WVM393381 C458919 JA458917 SW458917 ACS458917 AMO458917 AWK458917 BGG458917 BQC458917 BZY458917 CJU458917 CTQ458917 DDM458917 DNI458917 DXE458917 EHA458917 EQW458917 FAS458917 FKO458917 FUK458917 GEG458917 GOC458917 GXY458917 HHU458917 HRQ458917 IBM458917 ILI458917 IVE458917 JFA458917 JOW458917 JYS458917 KIO458917 KSK458917 LCG458917 LMC458917 LVY458917 MFU458917 MPQ458917 MZM458917 NJI458917 NTE458917 ODA458917 OMW458917 OWS458917 PGO458917 PQK458917 QAG458917 QKC458917 QTY458917 RDU458917 RNQ458917 RXM458917 SHI458917 SRE458917 TBA458917 TKW458917 TUS458917 UEO458917 UOK458917 UYG458917 VIC458917 VRY458917 WBU458917 WLQ458917 WVM458917 C524455 JA524453 SW524453 ACS524453 AMO524453 AWK524453 BGG524453 BQC524453 BZY524453 CJU524453 CTQ524453 DDM524453 DNI524453 DXE524453 EHA524453 EQW524453 FAS524453 FKO524453 FUK524453 GEG524453 GOC524453 GXY524453 HHU524453 HRQ524453 IBM524453 ILI524453 IVE524453 JFA524453 JOW524453 JYS524453 KIO524453 KSK524453 LCG524453 LMC524453 LVY524453 MFU524453 MPQ524453 MZM524453 NJI524453 NTE524453 ODA524453 OMW524453 OWS524453 PGO524453 PQK524453 QAG524453 QKC524453 QTY524453 RDU524453 RNQ524453 RXM524453 SHI524453 SRE524453 TBA524453 TKW524453 TUS524453 UEO524453 UOK524453 UYG524453 VIC524453 VRY524453 WBU524453 WLQ524453 WVM524453 C589991 JA589989 SW589989 ACS589989 AMO589989 AWK589989 BGG589989 BQC589989 BZY589989 CJU589989 CTQ589989 DDM589989 DNI589989 DXE589989 EHA589989 EQW589989 FAS589989 FKO589989 FUK589989 GEG589989 GOC589989 GXY589989 HHU589989 HRQ589989 IBM589989 ILI589989 IVE589989 JFA589989 JOW589989 JYS589989 KIO589989 KSK589989 LCG589989 LMC589989 LVY589989 MFU589989 MPQ589989 MZM589989 NJI589989 NTE589989 ODA589989 OMW589989 OWS589989 PGO589989 PQK589989 QAG589989 QKC589989 QTY589989 RDU589989 RNQ589989 RXM589989 SHI589989 SRE589989 TBA589989 TKW589989 TUS589989 UEO589989 UOK589989 UYG589989 VIC589989 VRY589989 WBU589989 WLQ589989 WVM589989 C655527 JA655525 SW655525 ACS655525 AMO655525 AWK655525 BGG655525 BQC655525 BZY655525 CJU655525 CTQ655525 DDM655525 DNI655525 DXE655525 EHA655525 EQW655525 FAS655525 FKO655525 FUK655525 GEG655525 GOC655525 GXY655525 HHU655525 HRQ655525 IBM655525 ILI655525 IVE655525 JFA655525 JOW655525 JYS655525 KIO655525 KSK655525 LCG655525 LMC655525 LVY655525 MFU655525 MPQ655525 MZM655525 NJI655525 NTE655525 ODA655525 OMW655525 OWS655525 PGO655525 PQK655525 QAG655525 QKC655525 QTY655525 RDU655525 RNQ655525 RXM655525 SHI655525 SRE655525 TBA655525 TKW655525 TUS655525 UEO655525 UOK655525 UYG655525 VIC655525 VRY655525 WBU655525 WLQ655525 WVM655525 C721063 JA721061 SW721061 ACS721061 AMO721061 AWK721061 BGG721061 BQC721061 BZY721061 CJU721061 CTQ721061 DDM721061 DNI721061 DXE721061 EHA721061 EQW721061 FAS721061 FKO721061 FUK721061 GEG721061 GOC721061 GXY721061 HHU721061 HRQ721061 IBM721061 ILI721061 IVE721061 JFA721061 JOW721061 JYS721061 KIO721061 KSK721061 LCG721061 LMC721061 LVY721061 MFU721061 MPQ721061 MZM721061 NJI721061 NTE721061 ODA721061 OMW721061 OWS721061 PGO721061 PQK721061 QAG721061 QKC721061 QTY721061 RDU721061 RNQ721061 RXM721061 SHI721061 SRE721061 TBA721061 TKW721061 TUS721061 UEO721061 UOK721061 UYG721061 VIC721061 VRY721061 WBU721061 WLQ721061 WVM721061 C786599 JA786597 SW786597 ACS786597 AMO786597 AWK786597 BGG786597 BQC786597 BZY786597 CJU786597 CTQ786597 DDM786597 DNI786597 DXE786597 EHA786597 EQW786597 FAS786597 FKO786597 FUK786597 GEG786597 GOC786597 GXY786597 HHU786597 HRQ786597 IBM786597 ILI786597 IVE786597 JFA786597 JOW786597 JYS786597 KIO786597 KSK786597 LCG786597 LMC786597 LVY786597 MFU786597 MPQ786597 MZM786597 NJI786597 NTE786597 ODA786597 OMW786597 OWS786597 PGO786597 PQK786597 QAG786597 QKC786597 QTY786597 RDU786597 RNQ786597 RXM786597 SHI786597 SRE786597 TBA786597 TKW786597 TUS786597 UEO786597 UOK786597 UYG786597 VIC786597 VRY786597 WBU786597 WLQ786597 WVM786597 C852135 JA852133 SW852133 ACS852133 AMO852133 AWK852133 BGG852133 BQC852133 BZY852133 CJU852133 CTQ852133 DDM852133 DNI852133 DXE852133 EHA852133 EQW852133 FAS852133 FKO852133 FUK852133 GEG852133 GOC852133 GXY852133 HHU852133 HRQ852133 IBM852133 ILI852133 IVE852133 JFA852133 JOW852133 JYS852133 KIO852133 KSK852133 LCG852133 LMC852133 LVY852133 MFU852133 MPQ852133 MZM852133 NJI852133 NTE852133 ODA852133 OMW852133 OWS852133 PGO852133 PQK852133 QAG852133 QKC852133 QTY852133 RDU852133 RNQ852133 RXM852133 SHI852133 SRE852133 TBA852133 TKW852133 TUS852133 UEO852133 UOK852133 UYG852133 VIC852133 VRY852133 WBU852133 WLQ852133 WVM852133 C917671 JA917669 SW917669 ACS917669 AMO917669 AWK917669 BGG917669 BQC917669 BZY917669 CJU917669 CTQ917669 DDM917669 DNI917669 DXE917669 EHA917669 EQW917669 FAS917669 FKO917669 FUK917669 GEG917669 GOC917669 GXY917669 HHU917669 HRQ917669 IBM917669 ILI917669 IVE917669 JFA917669 JOW917669 JYS917669 KIO917669 KSK917669 LCG917669 LMC917669 LVY917669 MFU917669 MPQ917669 MZM917669 NJI917669 NTE917669 ODA917669 OMW917669 OWS917669 PGO917669 PQK917669 QAG917669 QKC917669 QTY917669 RDU917669 RNQ917669 RXM917669 SHI917669 SRE917669 TBA917669 TKW917669 TUS917669 UEO917669 UOK917669 UYG917669 VIC917669 VRY917669 WBU917669 WLQ917669 WVM917669 C983207 JA983205 SW983205 ACS983205 AMO983205 AWK983205 BGG983205 BQC983205 BZY983205 CJU983205 CTQ983205 DDM983205 DNI983205 DXE983205 EHA983205 EQW983205 FAS983205 FKO983205 FUK983205 GEG983205 GOC983205 GXY983205 HHU983205 HRQ983205 IBM983205 ILI983205 IVE983205 JFA983205 JOW983205 JYS983205 KIO983205 KSK983205 LCG983205 LMC983205 LVY983205 MFU983205 MPQ983205 MZM983205 NJI983205 NTE983205 ODA983205 OMW983205 OWS983205 PGO983205 PQK983205 QAG983205 QKC983205 QTY983205 RDU983205 RNQ983205 RXM983205 SHI983205 SRE983205 TBA983205 TKW983205 TUS983205 UEO983205 UOK983205 UYG983205 VIC983205 VRY983205 WBU983205 WLQ983205 WVM983205">
      <formula1>0</formula1>
    </dataValidation>
    <dataValidation type="list" allowBlank="1" showInputMessage="1" showErrorMessage="1" sqref="D40 D37">
      <formula1>$F$26:$F$30</formula1>
    </dataValidation>
    <dataValidation type="list" allowBlank="1" showInputMessage="1" showErrorMessage="1" sqref="C40 C37">
      <formula1>$B$26:$B$31</formula1>
    </dataValidation>
    <dataValidation type="list" allowBlank="1" showInputMessage="1" showErrorMessage="1" sqref="E37 E40">
      <formula1>$H$26:$H$28</formula1>
    </dataValidation>
    <dataValidation type="list" allowBlank="1" showInputMessage="1" showErrorMessage="1" sqref="F37 F40">
      <formula1>$D$26:$D$30</formula1>
    </dataValidation>
    <dataValidation type="list" allowBlank="1" showInputMessage="1" showErrorMessage="1" sqref="G37 G40">
      <formula1>$J$26:$J$30</formula1>
    </dataValidation>
    <dataValidation type="list" allowBlank="1" showInputMessage="1" showErrorMessage="1" sqref="IZ180 WLP983214 WBT983214 VRX983214 VIB983214 UYF983214 UOJ983214 UEN983214 TUR983214 TKV983214 TAZ983214 SRD983214 SHH983214 RXL983214 RNP983214 RDT983214 QTX983214 QKB983214 QAF983214 PQJ983214 PGN983214 OWR983214 OMV983214 OCZ983214 NTD983214 NJH983214 MZL983214 MPP983214 MFT983214 LVX983214 LMB983214 LCF983214 KSJ983214 KIN983214 JYR983214 JOV983214 JEZ983214 IVD983214 ILH983214 IBL983214 HRP983214 HHT983214 GXX983214 GOB983214 GEF983214 FUJ983214 FKN983214 FAR983214 EQV983214 EGZ983214 DXD983214 DNH983214 DDL983214 CTP983214 CJT983214 BZX983214 BQB983214 BGF983214 AWJ983214 AMN983214 ACR983214 SV983214 IZ983214 B983216 WVL917678 WLP917678 WBT917678 VRX917678 VIB917678 UYF917678 UOJ917678 UEN917678 TUR917678 TKV917678 TAZ917678 SRD917678 SHH917678 RXL917678 RNP917678 RDT917678 QTX917678 QKB917678 QAF917678 PQJ917678 PGN917678 OWR917678 OMV917678 OCZ917678 NTD917678 NJH917678 MZL917678 MPP917678 MFT917678 LVX917678 LMB917678 LCF917678 KSJ917678 KIN917678 JYR917678 JOV917678 JEZ917678 IVD917678 ILH917678 IBL917678 HRP917678 HHT917678 GXX917678 GOB917678 GEF917678 FUJ917678 FKN917678 FAR917678 EQV917678 EGZ917678 DXD917678 DNH917678 DDL917678 CTP917678 CJT917678 BZX917678 BQB917678 BGF917678 AWJ917678 AMN917678 ACR917678 SV917678 IZ917678 B917680 WVL852142 WLP852142 WBT852142 VRX852142 VIB852142 UYF852142 UOJ852142 UEN852142 TUR852142 TKV852142 TAZ852142 SRD852142 SHH852142 RXL852142 RNP852142 RDT852142 QTX852142 QKB852142 QAF852142 PQJ852142 PGN852142 OWR852142 OMV852142 OCZ852142 NTD852142 NJH852142 MZL852142 MPP852142 MFT852142 LVX852142 LMB852142 LCF852142 KSJ852142 KIN852142 JYR852142 JOV852142 JEZ852142 IVD852142 ILH852142 IBL852142 HRP852142 HHT852142 GXX852142 GOB852142 GEF852142 FUJ852142 FKN852142 FAR852142 EQV852142 EGZ852142 DXD852142 DNH852142 DDL852142 CTP852142 CJT852142 BZX852142 BQB852142 BGF852142 AWJ852142 AMN852142 ACR852142 SV852142 IZ852142 B852144 WVL786606 WLP786606 WBT786606 VRX786606 VIB786606 UYF786606 UOJ786606 UEN786606 TUR786606 TKV786606 TAZ786606 SRD786606 SHH786606 RXL786606 RNP786606 RDT786606 QTX786606 QKB786606 QAF786606 PQJ786606 PGN786606 OWR786606 OMV786606 OCZ786606 NTD786606 NJH786606 MZL786606 MPP786606 MFT786606 LVX786606 LMB786606 LCF786606 KSJ786606 KIN786606 JYR786606 JOV786606 JEZ786606 IVD786606 ILH786606 IBL786606 HRP786606 HHT786606 GXX786606 GOB786606 GEF786606 FUJ786606 FKN786606 FAR786606 EQV786606 EGZ786606 DXD786606 DNH786606 DDL786606 CTP786606 CJT786606 BZX786606 BQB786606 BGF786606 AWJ786606 AMN786606 ACR786606 SV786606 IZ786606 B786608 WVL721070 WLP721070 WBT721070 VRX721070 VIB721070 UYF721070 UOJ721070 UEN721070 TUR721070 TKV721070 TAZ721070 SRD721070 SHH721070 RXL721070 RNP721070 RDT721070 QTX721070 QKB721070 QAF721070 PQJ721070 PGN721070 OWR721070 OMV721070 OCZ721070 NTD721070 NJH721070 MZL721070 MPP721070 MFT721070 LVX721070 LMB721070 LCF721070 KSJ721070 KIN721070 JYR721070 JOV721070 JEZ721070 IVD721070 ILH721070 IBL721070 HRP721070 HHT721070 GXX721070 GOB721070 GEF721070 FUJ721070 FKN721070 FAR721070 EQV721070 EGZ721070 DXD721070 DNH721070 DDL721070 CTP721070 CJT721070 BZX721070 BQB721070 BGF721070 AWJ721070 AMN721070 ACR721070 SV721070 IZ721070 B721072 WVL655534 WLP655534 WBT655534 VRX655534 VIB655534 UYF655534 UOJ655534 UEN655534 TUR655534 TKV655534 TAZ655534 SRD655534 SHH655534 RXL655534 RNP655534 RDT655534 QTX655534 QKB655534 QAF655534 PQJ655534 PGN655534 OWR655534 OMV655534 OCZ655534 NTD655534 NJH655534 MZL655534 MPP655534 MFT655534 LVX655534 LMB655534 LCF655534 KSJ655534 KIN655534 JYR655534 JOV655534 JEZ655534 IVD655534 ILH655534 IBL655534 HRP655534 HHT655534 GXX655534 GOB655534 GEF655534 FUJ655534 FKN655534 FAR655534 EQV655534 EGZ655534 DXD655534 DNH655534 DDL655534 CTP655534 CJT655534 BZX655534 BQB655534 BGF655534 AWJ655534 AMN655534 ACR655534 SV655534 IZ655534 B655536 WVL589998 WLP589998 WBT589998 VRX589998 VIB589998 UYF589998 UOJ589998 UEN589998 TUR589998 TKV589998 TAZ589998 SRD589998 SHH589998 RXL589998 RNP589998 RDT589998 QTX589998 QKB589998 QAF589998 PQJ589998 PGN589998 OWR589998 OMV589998 OCZ589998 NTD589998 NJH589998 MZL589998 MPP589998 MFT589998 LVX589998 LMB589998 LCF589998 KSJ589998 KIN589998 JYR589998 JOV589998 JEZ589998 IVD589998 ILH589998 IBL589998 HRP589998 HHT589998 GXX589998 GOB589998 GEF589998 FUJ589998 FKN589998 FAR589998 EQV589998 EGZ589998 DXD589998 DNH589998 DDL589998 CTP589998 CJT589998 BZX589998 BQB589998 BGF589998 AWJ589998 AMN589998 ACR589998 SV589998 IZ589998 B590000 WVL524462 WLP524462 WBT524462 VRX524462 VIB524462 UYF524462 UOJ524462 UEN524462 TUR524462 TKV524462 TAZ524462 SRD524462 SHH524462 RXL524462 RNP524462 RDT524462 QTX524462 QKB524462 QAF524462 PQJ524462 PGN524462 OWR524462 OMV524462 OCZ524462 NTD524462 NJH524462 MZL524462 MPP524462 MFT524462 LVX524462 LMB524462 LCF524462 KSJ524462 KIN524462 JYR524462 JOV524462 JEZ524462 IVD524462 ILH524462 IBL524462 HRP524462 HHT524462 GXX524462 GOB524462 GEF524462 FUJ524462 FKN524462 FAR524462 EQV524462 EGZ524462 DXD524462 DNH524462 DDL524462 CTP524462 CJT524462 BZX524462 BQB524462 BGF524462 AWJ524462 AMN524462 ACR524462 SV524462 IZ524462 B524464 WVL458926 WLP458926 WBT458926 VRX458926 VIB458926 UYF458926 UOJ458926 UEN458926 TUR458926 TKV458926 TAZ458926 SRD458926 SHH458926 RXL458926 RNP458926 RDT458926 QTX458926 QKB458926 QAF458926 PQJ458926 PGN458926 OWR458926 OMV458926 OCZ458926 NTD458926 NJH458926 MZL458926 MPP458926 MFT458926 LVX458926 LMB458926 LCF458926 KSJ458926 KIN458926 JYR458926 JOV458926 JEZ458926 IVD458926 ILH458926 IBL458926 HRP458926 HHT458926 GXX458926 GOB458926 GEF458926 FUJ458926 FKN458926 FAR458926 EQV458926 EGZ458926 DXD458926 DNH458926 DDL458926 CTP458926 CJT458926 BZX458926 BQB458926 BGF458926 AWJ458926 AMN458926 ACR458926 SV458926 IZ458926 B458928 WVL393390 WLP393390 WBT393390 VRX393390 VIB393390 UYF393390 UOJ393390 UEN393390 TUR393390 TKV393390 TAZ393390 SRD393390 SHH393390 RXL393390 RNP393390 RDT393390 QTX393390 QKB393390 QAF393390 PQJ393390 PGN393390 OWR393390 OMV393390 OCZ393390 NTD393390 NJH393390 MZL393390 MPP393390 MFT393390 LVX393390 LMB393390 LCF393390 KSJ393390 KIN393390 JYR393390 JOV393390 JEZ393390 IVD393390 ILH393390 IBL393390 HRP393390 HHT393390 GXX393390 GOB393390 GEF393390 FUJ393390 FKN393390 FAR393390 EQV393390 EGZ393390 DXD393390 DNH393390 DDL393390 CTP393390 CJT393390 BZX393390 BQB393390 BGF393390 AWJ393390 AMN393390 ACR393390 SV393390 IZ393390 B393392 WVL327854 WLP327854 WBT327854 VRX327854 VIB327854 UYF327854 UOJ327854 UEN327854 TUR327854 TKV327854 TAZ327854 SRD327854 SHH327854 RXL327854 RNP327854 RDT327854 QTX327854 QKB327854 QAF327854 PQJ327854 PGN327854 OWR327854 OMV327854 OCZ327854 NTD327854 NJH327854 MZL327854 MPP327854 MFT327854 LVX327854 LMB327854 LCF327854 KSJ327854 KIN327854 JYR327854 JOV327854 JEZ327854 IVD327854 ILH327854 IBL327854 HRP327854 HHT327854 GXX327854 GOB327854 GEF327854 FUJ327854 FKN327854 FAR327854 EQV327854 EGZ327854 DXD327854 DNH327854 DDL327854 CTP327854 CJT327854 BZX327854 BQB327854 BGF327854 AWJ327854 AMN327854 ACR327854 SV327854 IZ327854 B327856 WVL262318 WLP262318 WBT262318 VRX262318 VIB262318 UYF262318 UOJ262318 UEN262318 TUR262318 TKV262318 TAZ262318 SRD262318 SHH262318 RXL262318 RNP262318 RDT262318 QTX262318 QKB262318 QAF262318 PQJ262318 PGN262318 OWR262318 OMV262318 OCZ262318 NTD262318 NJH262318 MZL262318 MPP262318 MFT262318 LVX262318 LMB262318 LCF262318 KSJ262318 KIN262318 JYR262318 JOV262318 JEZ262318 IVD262318 ILH262318 IBL262318 HRP262318 HHT262318 GXX262318 GOB262318 GEF262318 FUJ262318 FKN262318 FAR262318 EQV262318 EGZ262318 DXD262318 DNH262318 DDL262318 CTP262318 CJT262318 BZX262318 BQB262318 BGF262318 AWJ262318 AMN262318 ACR262318 SV262318 IZ262318 B262320 WVL196782 WLP196782 WBT196782 VRX196782 VIB196782 UYF196782 UOJ196782 UEN196782 TUR196782 TKV196782 TAZ196782 SRD196782 SHH196782 RXL196782 RNP196782 RDT196782 QTX196782 QKB196782 QAF196782 PQJ196782 PGN196782 OWR196782 OMV196782 OCZ196782 NTD196782 NJH196782 MZL196782 MPP196782 MFT196782 LVX196782 LMB196782 LCF196782 KSJ196782 KIN196782 JYR196782 JOV196782 JEZ196782 IVD196782 ILH196782 IBL196782 HRP196782 HHT196782 GXX196782 GOB196782 GEF196782 FUJ196782 FKN196782 FAR196782 EQV196782 EGZ196782 DXD196782 DNH196782 DDL196782 CTP196782 CJT196782 BZX196782 BQB196782 BGF196782 AWJ196782 AMN196782 ACR196782 SV196782 IZ196782 B196784 WVL131246 WLP131246 WBT131246 VRX131246 VIB131246 UYF131246 UOJ131246 UEN131246 TUR131246 TKV131246 TAZ131246 SRD131246 SHH131246 RXL131246 RNP131246 RDT131246 QTX131246 QKB131246 QAF131246 PQJ131246 PGN131246 OWR131246 OMV131246 OCZ131246 NTD131246 NJH131246 MZL131246 MPP131246 MFT131246 LVX131246 LMB131246 LCF131246 KSJ131246 KIN131246 JYR131246 JOV131246 JEZ131246 IVD131246 ILH131246 IBL131246 HRP131246 HHT131246 GXX131246 GOB131246 GEF131246 FUJ131246 FKN131246 FAR131246 EQV131246 EGZ131246 DXD131246 DNH131246 DDL131246 CTP131246 CJT131246 BZX131246 BQB131246 BGF131246 AWJ131246 AMN131246 ACR131246 SV131246 IZ131246 B131248 WVL65710 WLP65710 WBT65710 VRX65710 VIB65710 UYF65710 UOJ65710 UEN65710 TUR65710 TKV65710 TAZ65710 SRD65710 SHH65710 RXL65710 RNP65710 RDT65710 QTX65710 QKB65710 QAF65710 PQJ65710 PGN65710 OWR65710 OMV65710 OCZ65710 NTD65710 NJH65710 MZL65710 MPP65710 MFT65710 LVX65710 LMB65710 LCF65710 KSJ65710 KIN65710 JYR65710 JOV65710 JEZ65710 IVD65710 ILH65710 IBL65710 HRP65710 HHT65710 GXX65710 GOB65710 GEF65710 FUJ65710 FKN65710 FAR65710 EQV65710 EGZ65710 DXD65710 DNH65710 DDL65710 CTP65710 CJT65710 BZX65710 BQB65710 BGF65710 AWJ65710 AMN65710 ACR65710 SV65710 IZ65710 B65712 WVL983154 WLP983154 WBT983154 VRX983154 VIB983154 UYF983154 UOJ983154 UEN983154 TUR983154 TKV983154 TAZ983154 SRD983154 SHH983154 RXL983154 RNP983154 RDT983154 QTX983154 QKB983154 QAF983154 PQJ983154 PGN983154 OWR983154 OMV983154 OCZ983154 NTD983154 NJH983154 MZL983154 MPP983154 MFT983154 LVX983154 LMB983154 LCF983154 KSJ983154 KIN983154 JYR983154 JOV983154 JEZ983154 IVD983154 ILH983154 IBL983154 HRP983154 HHT983154 GXX983154 GOB983154 GEF983154 FUJ983154 FKN983154 FAR983154 EQV983154 EGZ983154 DXD983154 DNH983154 DDL983154 CTP983154 CJT983154 BZX983154 BQB983154 BGF983154 AWJ983154 AMN983154 ACR983154 SV983154 IZ983154 B983156 WVL917618 WLP917618 WBT917618 VRX917618 VIB917618 UYF917618 UOJ917618 UEN917618 TUR917618 TKV917618 TAZ917618 SRD917618 SHH917618 RXL917618 RNP917618 RDT917618 QTX917618 QKB917618 QAF917618 PQJ917618 PGN917618 OWR917618 OMV917618 OCZ917618 NTD917618 NJH917618 MZL917618 MPP917618 MFT917618 LVX917618 LMB917618 LCF917618 KSJ917618 KIN917618 JYR917618 JOV917618 JEZ917618 IVD917618 ILH917618 IBL917618 HRP917618 HHT917618 GXX917618 GOB917618 GEF917618 FUJ917618 FKN917618 FAR917618 EQV917618 EGZ917618 DXD917618 DNH917618 DDL917618 CTP917618 CJT917618 BZX917618 BQB917618 BGF917618 AWJ917618 AMN917618 ACR917618 SV917618 IZ917618 B917620 WVL852082 WLP852082 WBT852082 VRX852082 VIB852082 UYF852082 UOJ852082 UEN852082 TUR852082 TKV852082 TAZ852082 SRD852082 SHH852082 RXL852082 RNP852082 RDT852082 QTX852082 QKB852082 QAF852082 PQJ852082 PGN852082 OWR852082 OMV852082 OCZ852082 NTD852082 NJH852082 MZL852082 MPP852082 MFT852082 LVX852082 LMB852082 LCF852082 KSJ852082 KIN852082 JYR852082 JOV852082 JEZ852082 IVD852082 ILH852082 IBL852082 HRP852082 HHT852082 GXX852082 GOB852082 GEF852082 FUJ852082 FKN852082 FAR852082 EQV852082 EGZ852082 DXD852082 DNH852082 DDL852082 CTP852082 CJT852082 BZX852082 BQB852082 BGF852082 AWJ852082 AMN852082 ACR852082 SV852082 IZ852082 B852084 WVL786546 WLP786546 WBT786546 VRX786546 VIB786546 UYF786546 UOJ786546 UEN786546 TUR786546 TKV786546 TAZ786546 SRD786546 SHH786546 RXL786546 RNP786546 RDT786546 QTX786546 QKB786546 QAF786546 PQJ786546 PGN786546 OWR786546 OMV786546 OCZ786546 NTD786546 NJH786546 MZL786546 MPP786546 MFT786546 LVX786546 LMB786546 LCF786546 KSJ786546 KIN786546 JYR786546 JOV786546 JEZ786546 IVD786546 ILH786546 IBL786546 HRP786546 HHT786546 GXX786546 GOB786546 GEF786546 FUJ786546 FKN786546 FAR786546 EQV786546 EGZ786546 DXD786546 DNH786546 DDL786546 CTP786546 CJT786546 BZX786546 BQB786546 BGF786546 AWJ786546 AMN786546 ACR786546 SV786546 IZ786546 B786548 WVL721010 WLP721010 WBT721010 VRX721010 VIB721010 UYF721010 UOJ721010 UEN721010 TUR721010 TKV721010 TAZ721010 SRD721010 SHH721010 RXL721010 RNP721010 RDT721010 QTX721010 QKB721010 QAF721010 PQJ721010 PGN721010 OWR721010 OMV721010 OCZ721010 NTD721010 NJH721010 MZL721010 MPP721010 MFT721010 LVX721010 LMB721010 LCF721010 KSJ721010 KIN721010 JYR721010 JOV721010 JEZ721010 IVD721010 ILH721010 IBL721010 HRP721010 HHT721010 GXX721010 GOB721010 GEF721010 FUJ721010 FKN721010 FAR721010 EQV721010 EGZ721010 DXD721010 DNH721010 DDL721010 CTP721010 CJT721010 BZX721010 BQB721010 BGF721010 AWJ721010 AMN721010 ACR721010 SV721010 IZ721010 B721012 WVL655474 WLP655474 WBT655474 VRX655474 VIB655474 UYF655474 UOJ655474 UEN655474 TUR655474 TKV655474 TAZ655474 SRD655474 SHH655474 RXL655474 RNP655474 RDT655474 QTX655474 QKB655474 QAF655474 PQJ655474 PGN655474 OWR655474 OMV655474 OCZ655474 NTD655474 NJH655474 MZL655474 MPP655474 MFT655474 LVX655474 LMB655474 LCF655474 KSJ655474 KIN655474 JYR655474 JOV655474 JEZ655474 IVD655474 ILH655474 IBL655474 HRP655474 HHT655474 GXX655474 GOB655474 GEF655474 FUJ655474 FKN655474 FAR655474 EQV655474 EGZ655474 DXD655474 DNH655474 DDL655474 CTP655474 CJT655474 BZX655474 BQB655474 BGF655474 AWJ655474 AMN655474 ACR655474 SV655474 IZ655474 B655476 WVL589938 WLP589938 WBT589938 VRX589938 VIB589938 UYF589938 UOJ589938 UEN589938 TUR589938 TKV589938 TAZ589938 SRD589938 SHH589938 RXL589938 RNP589938 RDT589938 QTX589938 QKB589938 QAF589938 PQJ589938 PGN589938 OWR589938 OMV589938 OCZ589938 NTD589938 NJH589938 MZL589938 MPP589938 MFT589938 LVX589938 LMB589938 LCF589938 KSJ589938 KIN589938 JYR589938 JOV589938 JEZ589938 IVD589938 ILH589938 IBL589938 HRP589938 HHT589938 GXX589938 GOB589938 GEF589938 FUJ589938 FKN589938 FAR589938 EQV589938 EGZ589938 DXD589938 DNH589938 DDL589938 CTP589938 CJT589938 BZX589938 BQB589938 BGF589938 AWJ589938 AMN589938 ACR589938 SV589938 IZ589938 B589940 WVL524402 WLP524402 WBT524402 VRX524402 VIB524402 UYF524402 UOJ524402 UEN524402 TUR524402 TKV524402 TAZ524402 SRD524402 SHH524402 RXL524402 RNP524402 RDT524402 QTX524402 QKB524402 QAF524402 PQJ524402 PGN524402 OWR524402 OMV524402 OCZ524402 NTD524402 NJH524402 MZL524402 MPP524402 MFT524402 LVX524402 LMB524402 LCF524402 KSJ524402 KIN524402 JYR524402 JOV524402 JEZ524402 IVD524402 ILH524402 IBL524402 HRP524402 HHT524402 GXX524402 GOB524402 GEF524402 FUJ524402 FKN524402 FAR524402 EQV524402 EGZ524402 DXD524402 DNH524402 DDL524402 CTP524402 CJT524402 BZX524402 BQB524402 BGF524402 AWJ524402 AMN524402 ACR524402 SV524402 IZ524402 B524404 WVL458866 WLP458866 WBT458866 VRX458866 VIB458866 UYF458866 UOJ458866 UEN458866 TUR458866 TKV458866 TAZ458866 SRD458866 SHH458866 RXL458866 RNP458866 RDT458866 QTX458866 QKB458866 QAF458866 PQJ458866 PGN458866 OWR458866 OMV458866 OCZ458866 NTD458866 NJH458866 MZL458866 MPP458866 MFT458866 LVX458866 LMB458866 LCF458866 KSJ458866 KIN458866 JYR458866 JOV458866 JEZ458866 IVD458866 ILH458866 IBL458866 HRP458866 HHT458866 GXX458866 GOB458866 GEF458866 FUJ458866 FKN458866 FAR458866 EQV458866 EGZ458866 DXD458866 DNH458866 DDL458866 CTP458866 CJT458866 BZX458866 BQB458866 BGF458866 AWJ458866 AMN458866 ACR458866 SV458866 IZ458866 B458868 WVL393330 WLP393330 WBT393330 VRX393330 VIB393330 UYF393330 UOJ393330 UEN393330 TUR393330 TKV393330 TAZ393330 SRD393330 SHH393330 RXL393330 RNP393330 RDT393330 QTX393330 QKB393330 QAF393330 PQJ393330 PGN393330 OWR393330 OMV393330 OCZ393330 NTD393330 NJH393330 MZL393330 MPP393330 MFT393330 LVX393330 LMB393330 LCF393330 KSJ393330 KIN393330 JYR393330 JOV393330 JEZ393330 IVD393330 ILH393330 IBL393330 HRP393330 HHT393330 GXX393330 GOB393330 GEF393330 FUJ393330 FKN393330 FAR393330 EQV393330 EGZ393330 DXD393330 DNH393330 DDL393330 CTP393330 CJT393330 BZX393330 BQB393330 BGF393330 AWJ393330 AMN393330 ACR393330 SV393330 IZ393330 B393332 WVL327794 WLP327794 WBT327794 VRX327794 VIB327794 UYF327794 UOJ327794 UEN327794 TUR327794 TKV327794 TAZ327794 SRD327794 SHH327794 RXL327794 RNP327794 RDT327794 QTX327794 QKB327794 QAF327794 PQJ327794 PGN327794 OWR327794 OMV327794 OCZ327794 NTD327794 NJH327794 MZL327794 MPP327794 MFT327794 LVX327794 LMB327794 LCF327794 KSJ327794 KIN327794 JYR327794 JOV327794 JEZ327794 IVD327794 ILH327794 IBL327794 HRP327794 HHT327794 GXX327794 GOB327794 GEF327794 FUJ327794 FKN327794 FAR327794 EQV327794 EGZ327794 DXD327794 DNH327794 DDL327794 CTP327794 CJT327794 BZX327794 BQB327794 BGF327794 AWJ327794 AMN327794 ACR327794 SV327794 IZ327794 B327796 WVL262258 WLP262258 WBT262258 VRX262258 VIB262258 UYF262258 UOJ262258 UEN262258 TUR262258 TKV262258 TAZ262258 SRD262258 SHH262258 RXL262258 RNP262258 RDT262258 QTX262258 QKB262258 QAF262258 PQJ262258 PGN262258 OWR262258 OMV262258 OCZ262258 NTD262258 NJH262258 MZL262258 MPP262258 MFT262258 LVX262258 LMB262258 LCF262258 KSJ262258 KIN262258 JYR262258 JOV262258 JEZ262258 IVD262258 ILH262258 IBL262258 HRP262258 HHT262258 GXX262258 GOB262258 GEF262258 FUJ262258 FKN262258 FAR262258 EQV262258 EGZ262258 DXD262258 DNH262258 DDL262258 CTP262258 CJT262258 BZX262258 BQB262258 BGF262258 AWJ262258 AMN262258 ACR262258 SV262258 IZ262258 B262260 WVL196722 WLP196722 WBT196722 VRX196722 VIB196722 UYF196722 UOJ196722 UEN196722 TUR196722 TKV196722 TAZ196722 SRD196722 SHH196722 RXL196722 RNP196722 RDT196722 QTX196722 QKB196722 QAF196722 PQJ196722 PGN196722 OWR196722 OMV196722 OCZ196722 NTD196722 NJH196722 MZL196722 MPP196722 MFT196722 LVX196722 LMB196722 LCF196722 KSJ196722 KIN196722 JYR196722 JOV196722 JEZ196722 IVD196722 ILH196722 IBL196722 HRP196722 HHT196722 GXX196722 GOB196722 GEF196722 FUJ196722 FKN196722 FAR196722 EQV196722 EGZ196722 DXD196722 DNH196722 DDL196722 CTP196722 CJT196722 BZX196722 BQB196722 BGF196722 AWJ196722 AMN196722 ACR196722 SV196722 IZ196722 B196724 WVL131186 WLP131186 WBT131186 VRX131186 VIB131186 UYF131186 UOJ131186 UEN131186 TUR131186 TKV131186 TAZ131186 SRD131186 SHH131186 RXL131186 RNP131186 RDT131186 QTX131186 QKB131186 QAF131186 PQJ131186 PGN131186 OWR131186 OMV131186 OCZ131186 NTD131186 NJH131186 MZL131186 MPP131186 MFT131186 LVX131186 LMB131186 LCF131186 KSJ131186 KIN131186 JYR131186 JOV131186 JEZ131186 IVD131186 ILH131186 IBL131186 HRP131186 HHT131186 GXX131186 GOB131186 GEF131186 FUJ131186 FKN131186 FAR131186 EQV131186 EGZ131186 DXD131186 DNH131186 DDL131186 CTP131186 CJT131186 BZX131186 BQB131186 BGF131186 AWJ131186 AMN131186 ACR131186 SV131186 IZ131186 B131188 WVL65650 WLP65650 WBT65650 VRX65650 VIB65650 UYF65650 UOJ65650 UEN65650 TUR65650 TKV65650 TAZ65650 SRD65650 SHH65650 RXL65650 RNP65650 RDT65650 QTX65650 QKB65650 QAF65650 PQJ65650 PGN65650 OWR65650 OMV65650 OCZ65650 NTD65650 NJH65650 MZL65650 MPP65650 MFT65650 LVX65650 LMB65650 LCF65650 KSJ65650 KIN65650 JYR65650 JOV65650 JEZ65650 IVD65650 ILH65650 IBL65650 HRP65650 HHT65650 GXX65650 GOB65650 GEF65650 FUJ65650 FKN65650 FAR65650 EQV65650 EGZ65650 DXD65650 DNH65650 DDL65650 CTP65650 CJT65650 BZX65650 BQB65650 BGF65650 AWJ65650 AMN65650 ACR65650 SV65650 IZ65650 B65652 WVL180 WLP180 WBT180 VRX180 VIB180 UYF180 UOJ180 UEN180 TUR180 TKV180 TAZ180 SRD180 SHH180 RXL180 RNP180 RDT180 QTX180 QKB180 QAF180 PQJ180 PGN180 OWR180 OMV180 OCZ180 NTD180 NJH180 MZL180 MPP180 MFT180 LVX180 LMB180 LCF180 KSJ180 KIN180 JYR180 JOV180 JEZ180 IVD180 ILH180 IBL180 HRP180 HHT180 GXX180 GOB180 GEF180 FUJ180 FKN180 FAR180 EQV180 EGZ180 DXD180 DNH180 DDL180 CTP180 CJT180 BZX180 BQB180 BGF180 AWJ180 AMN180 ACR180 SV180">
      <formula1>$AC$2:$AC$7</formula1>
    </dataValidation>
    <dataValidation type="list" allowBlank="1" showInputMessage="1" showErrorMessage="1" sqref="SV179 WVL983152 WLP983152 WBT983152 VRX983152 VIB983152 UYF983152 UOJ983152 UEN983152 TUR983152 TKV983152 TAZ983152 SRD983152 SHH983152 RXL983152 RNP983152 RDT983152 QTX983152 QKB983152 QAF983152 PQJ983152 PGN983152 OWR983152 OMV983152 OCZ983152 NTD983152 NJH983152 MZL983152 MPP983152 MFT983152 LVX983152 LMB983152 LCF983152 KSJ983152 KIN983152 JYR983152 JOV983152 JEZ983152 IVD983152 ILH983152 IBL983152 HRP983152 HHT983152 GXX983152 GOB983152 GEF983152 FUJ983152 FKN983152 FAR983152 EQV983152 EGZ983152 DXD983152 DNH983152 DDL983152 CTP983152 CJT983152 BZX983152 BQB983152 BGF983152 AWJ983152 AMN983152 ACR983152 SV983152 IZ983152 B983154 WVL917616 WLP917616 WBT917616 VRX917616 VIB917616 UYF917616 UOJ917616 UEN917616 TUR917616 TKV917616 TAZ917616 SRD917616 SHH917616 RXL917616 RNP917616 RDT917616 QTX917616 QKB917616 QAF917616 PQJ917616 PGN917616 OWR917616 OMV917616 OCZ917616 NTD917616 NJH917616 MZL917616 MPP917616 MFT917616 LVX917616 LMB917616 LCF917616 KSJ917616 KIN917616 JYR917616 JOV917616 JEZ917616 IVD917616 ILH917616 IBL917616 HRP917616 HHT917616 GXX917616 GOB917616 GEF917616 FUJ917616 FKN917616 FAR917616 EQV917616 EGZ917616 DXD917616 DNH917616 DDL917616 CTP917616 CJT917616 BZX917616 BQB917616 BGF917616 AWJ917616 AMN917616 ACR917616 SV917616 IZ917616 B917618 WVL852080 WLP852080 WBT852080 VRX852080 VIB852080 UYF852080 UOJ852080 UEN852080 TUR852080 TKV852080 TAZ852080 SRD852080 SHH852080 RXL852080 RNP852080 RDT852080 QTX852080 QKB852080 QAF852080 PQJ852080 PGN852080 OWR852080 OMV852080 OCZ852080 NTD852080 NJH852080 MZL852080 MPP852080 MFT852080 LVX852080 LMB852080 LCF852080 KSJ852080 KIN852080 JYR852080 JOV852080 JEZ852080 IVD852080 ILH852080 IBL852080 HRP852080 HHT852080 GXX852080 GOB852080 GEF852080 FUJ852080 FKN852080 FAR852080 EQV852080 EGZ852080 DXD852080 DNH852080 DDL852080 CTP852080 CJT852080 BZX852080 BQB852080 BGF852080 AWJ852080 AMN852080 ACR852080 SV852080 IZ852080 B852082 WVL786544 WLP786544 WBT786544 VRX786544 VIB786544 UYF786544 UOJ786544 UEN786544 TUR786544 TKV786544 TAZ786544 SRD786544 SHH786544 RXL786544 RNP786544 RDT786544 QTX786544 QKB786544 QAF786544 PQJ786544 PGN786544 OWR786544 OMV786544 OCZ786544 NTD786544 NJH786544 MZL786544 MPP786544 MFT786544 LVX786544 LMB786544 LCF786544 KSJ786544 KIN786544 JYR786544 JOV786544 JEZ786544 IVD786544 ILH786544 IBL786544 HRP786544 HHT786544 GXX786544 GOB786544 GEF786544 FUJ786544 FKN786544 FAR786544 EQV786544 EGZ786544 DXD786544 DNH786544 DDL786544 CTP786544 CJT786544 BZX786544 BQB786544 BGF786544 AWJ786544 AMN786544 ACR786544 SV786544 IZ786544 B786546 WVL721008 WLP721008 WBT721008 VRX721008 VIB721008 UYF721008 UOJ721008 UEN721008 TUR721008 TKV721008 TAZ721008 SRD721008 SHH721008 RXL721008 RNP721008 RDT721008 QTX721008 QKB721008 QAF721008 PQJ721008 PGN721008 OWR721008 OMV721008 OCZ721008 NTD721008 NJH721008 MZL721008 MPP721008 MFT721008 LVX721008 LMB721008 LCF721008 KSJ721008 KIN721008 JYR721008 JOV721008 JEZ721008 IVD721008 ILH721008 IBL721008 HRP721008 HHT721008 GXX721008 GOB721008 GEF721008 FUJ721008 FKN721008 FAR721008 EQV721008 EGZ721008 DXD721008 DNH721008 DDL721008 CTP721008 CJT721008 BZX721008 BQB721008 BGF721008 AWJ721008 AMN721008 ACR721008 SV721008 IZ721008 B721010 WVL655472 WLP655472 WBT655472 VRX655472 VIB655472 UYF655472 UOJ655472 UEN655472 TUR655472 TKV655472 TAZ655472 SRD655472 SHH655472 RXL655472 RNP655472 RDT655472 QTX655472 QKB655472 QAF655472 PQJ655472 PGN655472 OWR655472 OMV655472 OCZ655472 NTD655472 NJH655472 MZL655472 MPP655472 MFT655472 LVX655472 LMB655472 LCF655472 KSJ655472 KIN655472 JYR655472 JOV655472 JEZ655472 IVD655472 ILH655472 IBL655472 HRP655472 HHT655472 GXX655472 GOB655472 GEF655472 FUJ655472 FKN655472 FAR655472 EQV655472 EGZ655472 DXD655472 DNH655472 DDL655472 CTP655472 CJT655472 BZX655472 BQB655472 BGF655472 AWJ655472 AMN655472 ACR655472 SV655472 IZ655472 B655474 WVL589936 WLP589936 WBT589936 VRX589936 VIB589936 UYF589936 UOJ589936 UEN589936 TUR589936 TKV589936 TAZ589936 SRD589936 SHH589936 RXL589936 RNP589936 RDT589936 QTX589936 QKB589936 QAF589936 PQJ589936 PGN589936 OWR589936 OMV589936 OCZ589936 NTD589936 NJH589936 MZL589936 MPP589936 MFT589936 LVX589936 LMB589936 LCF589936 KSJ589936 KIN589936 JYR589936 JOV589936 JEZ589936 IVD589936 ILH589936 IBL589936 HRP589936 HHT589936 GXX589936 GOB589936 GEF589936 FUJ589936 FKN589936 FAR589936 EQV589936 EGZ589936 DXD589936 DNH589936 DDL589936 CTP589936 CJT589936 BZX589936 BQB589936 BGF589936 AWJ589936 AMN589936 ACR589936 SV589936 IZ589936 B589938 WVL524400 WLP524400 WBT524400 VRX524400 VIB524400 UYF524400 UOJ524400 UEN524400 TUR524400 TKV524400 TAZ524400 SRD524400 SHH524400 RXL524400 RNP524400 RDT524400 QTX524400 QKB524400 QAF524400 PQJ524400 PGN524400 OWR524400 OMV524400 OCZ524400 NTD524400 NJH524400 MZL524400 MPP524400 MFT524400 LVX524400 LMB524400 LCF524400 KSJ524400 KIN524400 JYR524400 JOV524400 JEZ524400 IVD524400 ILH524400 IBL524400 HRP524400 HHT524400 GXX524400 GOB524400 GEF524400 FUJ524400 FKN524400 FAR524400 EQV524400 EGZ524400 DXD524400 DNH524400 DDL524400 CTP524400 CJT524400 BZX524400 BQB524400 BGF524400 AWJ524400 AMN524400 ACR524400 SV524400 IZ524400 B524402 WVL458864 WLP458864 WBT458864 VRX458864 VIB458864 UYF458864 UOJ458864 UEN458864 TUR458864 TKV458864 TAZ458864 SRD458864 SHH458864 RXL458864 RNP458864 RDT458864 QTX458864 QKB458864 QAF458864 PQJ458864 PGN458864 OWR458864 OMV458864 OCZ458864 NTD458864 NJH458864 MZL458864 MPP458864 MFT458864 LVX458864 LMB458864 LCF458864 KSJ458864 KIN458864 JYR458864 JOV458864 JEZ458864 IVD458864 ILH458864 IBL458864 HRP458864 HHT458864 GXX458864 GOB458864 GEF458864 FUJ458864 FKN458864 FAR458864 EQV458864 EGZ458864 DXD458864 DNH458864 DDL458864 CTP458864 CJT458864 BZX458864 BQB458864 BGF458864 AWJ458864 AMN458864 ACR458864 SV458864 IZ458864 B458866 WVL393328 WLP393328 WBT393328 VRX393328 VIB393328 UYF393328 UOJ393328 UEN393328 TUR393328 TKV393328 TAZ393328 SRD393328 SHH393328 RXL393328 RNP393328 RDT393328 QTX393328 QKB393328 QAF393328 PQJ393328 PGN393328 OWR393328 OMV393328 OCZ393328 NTD393328 NJH393328 MZL393328 MPP393328 MFT393328 LVX393328 LMB393328 LCF393328 KSJ393328 KIN393328 JYR393328 JOV393328 JEZ393328 IVD393328 ILH393328 IBL393328 HRP393328 HHT393328 GXX393328 GOB393328 GEF393328 FUJ393328 FKN393328 FAR393328 EQV393328 EGZ393328 DXD393328 DNH393328 DDL393328 CTP393328 CJT393328 BZX393328 BQB393328 BGF393328 AWJ393328 AMN393328 ACR393328 SV393328 IZ393328 B393330 WVL327792 WLP327792 WBT327792 VRX327792 VIB327792 UYF327792 UOJ327792 UEN327792 TUR327792 TKV327792 TAZ327792 SRD327792 SHH327792 RXL327792 RNP327792 RDT327792 QTX327792 QKB327792 QAF327792 PQJ327792 PGN327792 OWR327792 OMV327792 OCZ327792 NTD327792 NJH327792 MZL327792 MPP327792 MFT327792 LVX327792 LMB327792 LCF327792 KSJ327792 KIN327792 JYR327792 JOV327792 JEZ327792 IVD327792 ILH327792 IBL327792 HRP327792 HHT327792 GXX327792 GOB327792 GEF327792 FUJ327792 FKN327792 FAR327792 EQV327792 EGZ327792 DXD327792 DNH327792 DDL327792 CTP327792 CJT327792 BZX327792 BQB327792 BGF327792 AWJ327792 AMN327792 ACR327792 SV327792 IZ327792 B327794 WVL262256 WLP262256 WBT262256 VRX262256 VIB262256 UYF262256 UOJ262256 UEN262256 TUR262256 TKV262256 TAZ262256 SRD262256 SHH262256 RXL262256 RNP262256 RDT262256 QTX262256 QKB262256 QAF262256 PQJ262256 PGN262256 OWR262256 OMV262256 OCZ262256 NTD262256 NJH262256 MZL262256 MPP262256 MFT262256 LVX262256 LMB262256 LCF262256 KSJ262256 KIN262256 JYR262256 JOV262256 JEZ262256 IVD262256 ILH262256 IBL262256 HRP262256 HHT262256 GXX262256 GOB262256 GEF262256 FUJ262256 FKN262256 FAR262256 EQV262256 EGZ262256 DXD262256 DNH262256 DDL262256 CTP262256 CJT262256 BZX262256 BQB262256 BGF262256 AWJ262256 AMN262256 ACR262256 SV262256 IZ262256 B262258 WVL196720 WLP196720 WBT196720 VRX196720 VIB196720 UYF196720 UOJ196720 UEN196720 TUR196720 TKV196720 TAZ196720 SRD196720 SHH196720 RXL196720 RNP196720 RDT196720 QTX196720 QKB196720 QAF196720 PQJ196720 PGN196720 OWR196720 OMV196720 OCZ196720 NTD196720 NJH196720 MZL196720 MPP196720 MFT196720 LVX196720 LMB196720 LCF196720 KSJ196720 KIN196720 JYR196720 JOV196720 JEZ196720 IVD196720 ILH196720 IBL196720 HRP196720 HHT196720 GXX196720 GOB196720 GEF196720 FUJ196720 FKN196720 FAR196720 EQV196720 EGZ196720 DXD196720 DNH196720 DDL196720 CTP196720 CJT196720 BZX196720 BQB196720 BGF196720 AWJ196720 AMN196720 ACR196720 SV196720 IZ196720 B196722 WVL131184 WLP131184 WBT131184 VRX131184 VIB131184 UYF131184 UOJ131184 UEN131184 TUR131184 TKV131184 TAZ131184 SRD131184 SHH131184 RXL131184 RNP131184 RDT131184 QTX131184 QKB131184 QAF131184 PQJ131184 PGN131184 OWR131184 OMV131184 OCZ131184 NTD131184 NJH131184 MZL131184 MPP131184 MFT131184 LVX131184 LMB131184 LCF131184 KSJ131184 KIN131184 JYR131184 JOV131184 JEZ131184 IVD131184 ILH131184 IBL131184 HRP131184 HHT131184 GXX131184 GOB131184 GEF131184 FUJ131184 FKN131184 FAR131184 EQV131184 EGZ131184 DXD131184 DNH131184 DDL131184 CTP131184 CJT131184 BZX131184 BQB131184 BGF131184 AWJ131184 AMN131184 ACR131184 SV131184 IZ131184 B131186 WVL65648 WLP65648 WBT65648 VRX65648 VIB65648 UYF65648 UOJ65648 UEN65648 TUR65648 TKV65648 TAZ65648 SRD65648 SHH65648 RXL65648 RNP65648 RDT65648 QTX65648 QKB65648 QAF65648 PQJ65648 PGN65648 OWR65648 OMV65648 OCZ65648 NTD65648 NJH65648 MZL65648 MPP65648 MFT65648 LVX65648 LMB65648 LCF65648 KSJ65648 KIN65648 JYR65648 JOV65648 JEZ65648 IVD65648 ILH65648 IBL65648 HRP65648 HHT65648 GXX65648 GOB65648 GEF65648 FUJ65648 FKN65648 FAR65648 EQV65648 EGZ65648 DXD65648 DNH65648 DDL65648 CTP65648 CJT65648 BZX65648 BQB65648 BGF65648 AWJ65648 AMN65648 ACR65648 SV65648 IZ65648 B65650 WVL179 WLP179 WBT179 VRX179 VIB179 UYF179 UOJ179 UEN179 TUR179 TKV179 TAZ179 SRD179 SHH179 RXL179 RNP179 RDT179 QTX179 QKB179 QAF179 PQJ179 PGN179 OWR179 OMV179 OCZ179 NTD179 NJH179 MZL179 MPP179 MFT179 LVX179 LMB179 LCF179 KSJ179 KIN179 JYR179 JOV179 JEZ179 IVD179 ILH179 IBL179 HRP179 HHT179 GXX179 GOB179 GEF179 FUJ179 FKN179 FAR179 EQV179 EGZ179 DXD179 DNH179 DDL179 CTP179 CJT179 BZX179 BQB179 BGF179 AWJ179 AMN179 ACR179">
      <formula1>$AA$2:$AA$11</formula1>
    </dataValidation>
  </dataValidations>
  <pageMargins left="0.7" right="0.7" top="0.75" bottom="0.75" header="0.3" footer="0.3"/>
  <pageSetup orientation="portrait" r:id="rId1"/>
  <ignoredErrors>
    <ignoredError sqref="B153 B120:B152" unlockedFormula="1"/>
  </ignoredErrors>
  <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LISTAS!$J$3:$J$6</xm:f>
          </x14:formula1>
          <xm:sqref>B76:D78</xm:sqref>
        </x14:dataValidation>
        <x14:dataValidation type="list" allowBlank="1" showInputMessage="1" showErrorMessage="1">
          <x14:formula1>
            <xm:f>LISTAS!$AB$2:$AB$7</xm:f>
          </x14:formula1>
          <xm:sqref>WVL983214</xm:sqref>
        </x14:dataValidation>
        <x14:dataValidation type="list" allowBlank="1" showInputMessage="1" showErrorMessage="1">
          <x14:formula1>
            <xm:f>LISTAS!$Z$2:$Z$11</xm:f>
          </x14:formula1>
          <xm:sqref>IZ179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121"/>
  <sheetViews>
    <sheetView showGridLines="0" zoomScale="98" zoomScaleNormal="98" workbookViewId="0">
      <selection activeCell="A6" sqref="A6:H6"/>
    </sheetView>
  </sheetViews>
  <sheetFormatPr baseColWidth="10" defaultColWidth="11.42578125" defaultRowHeight="14.25" x14ac:dyDescent="0.25"/>
  <cols>
    <col min="1" max="1" width="10.5703125" style="70" customWidth="1"/>
    <col min="2" max="2" width="56.7109375" style="70" customWidth="1"/>
    <col min="3" max="3" width="33.42578125" style="70" customWidth="1"/>
    <col min="4" max="4" width="30.28515625" style="70" customWidth="1"/>
    <col min="5" max="5" width="38.42578125" style="70" customWidth="1"/>
    <col min="6" max="6" width="35.7109375" style="70" customWidth="1"/>
    <col min="7" max="7" width="29.7109375" style="70" customWidth="1"/>
    <col min="8" max="8" width="32.140625" style="70" customWidth="1"/>
    <col min="9" max="9" width="38.7109375" style="70" customWidth="1"/>
    <col min="10" max="10" width="38.28515625" style="70" customWidth="1"/>
    <col min="11" max="11" width="42.7109375" style="70" customWidth="1"/>
    <col min="12" max="12" width="36.140625" style="70" customWidth="1"/>
    <col min="13" max="13" width="31.5703125" style="70" customWidth="1"/>
    <col min="14" max="15" width="29.7109375" style="70" customWidth="1"/>
    <col min="16" max="16" width="11.42578125" style="70"/>
    <col min="17" max="17" width="16.5703125" style="70" customWidth="1"/>
    <col min="18" max="18" width="19.85546875" style="70" customWidth="1"/>
    <col min="19" max="16384" width="11.42578125" style="70"/>
  </cols>
  <sheetData>
    <row r="1" spans="1:17" ht="15" thickBot="1" x14ac:dyDescent="0.3">
      <c r="A1" s="586"/>
      <c r="B1" s="586"/>
      <c r="C1" s="586"/>
      <c r="D1" s="586"/>
      <c r="E1" s="586"/>
      <c r="F1" s="586"/>
      <c r="G1" s="586"/>
      <c r="H1" s="586"/>
      <c r="I1" s="586"/>
    </row>
    <row r="2" spans="1:17" ht="61.5" customHeight="1" x14ac:dyDescent="0.25">
      <c r="A2" s="584"/>
      <c r="B2" s="584"/>
      <c r="C2" s="574" t="s">
        <v>811</v>
      </c>
      <c r="D2" s="575"/>
      <c r="E2" s="575"/>
      <c r="F2" s="575"/>
      <c r="G2" s="575"/>
      <c r="H2" s="575"/>
      <c r="I2" s="575"/>
      <c r="J2" s="575"/>
      <c r="K2" s="575"/>
      <c r="L2" s="575"/>
      <c r="M2" s="575"/>
      <c r="N2" s="576"/>
      <c r="O2" s="481" t="s">
        <v>810</v>
      </c>
    </row>
    <row r="3" spans="1:17" ht="42" customHeight="1" thickBot="1" x14ac:dyDescent="0.3">
      <c r="A3" s="584"/>
      <c r="B3" s="584"/>
      <c r="C3" s="574"/>
      <c r="D3" s="575"/>
      <c r="E3" s="575"/>
      <c r="F3" s="575"/>
      <c r="G3" s="575"/>
      <c r="H3" s="575"/>
      <c r="I3" s="575"/>
      <c r="J3" s="575"/>
      <c r="K3" s="575"/>
      <c r="L3" s="575"/>
      <c r="M3" s="575"/>
      <c r="N3" s="576"/>
      <c r="O3" s="482"/>
    </row>
    <row r="4" spans="1:17" ht="15" customHeight="1" x14ac:dyDescent="0.25">
      <c r="A4" s="585"/>
      <c r="B4" s="585"/>
      <c r="C4" s="585"/>
      <c r="D4" s="585"/>
      <c r="E4" s="585"/>
      <c r="F4" s="585"/>
      <c r="G4" s="585"/>
      <c r="H4" s="585"/>
    </row>
    <row r="5" spans="1:17" ht="24.75" customHeight="1" x14ac:dyDescent="0.25">
      <c r="A5" s="454" t="s">
        <v>0</v>
      </c>
      <c r="B5" s="454"/>
      <c r="C5" s="454"/>
      <c r="D5" s="454"/>
      <c r="E5" s="454"/>
      <c r="F5" s="454"/>
      <c r="G5" s="454"/>
      <c r="H5" s="454"/>
    </row>
    <row r="6" spans="1:17" ht="22.5" customHeight="1" x14ac:dyDescent="0.25">
      <c r="A6" s="454" t="s">
        <v>2</v>
      </c>
      <c r="B6" s="454"/>
      <c r="C6" s="454"/>
      <c r="D6" s="454"/>
      <c r="E6" s="454"/>
      <c r="F6" s="454"/>
      <c r="G6" s="454"/>
      <c r="H6" s="454"/>
      <c r="I6" s="402"/>
      <c r="J6" s="402"/>
      <c r="K6" s="402"/>
      <c r="L6" s="402"/>
      <c r="M6" s="402"/>
      <c r="N6" s="402"/>
      <c r="O6" s="402"/>
      <c r="P6" s="402"/>
      <c r="Q6" s="402"/>
    </row>
    <row r="7" spans="1:17" ht="27.75" x14ac:dyDescent="0.25">
      <c r="A7" s="582"/>
      <c r="B7" s="582"/>
      <c r="C7" s="582"/>
      <c r="D7" s="582"/>
      <c r="E7" s="582"/>
      <c r="F7" s="582"/>
      <c r="G7" s="582"/>
      <c r="H7" s="582"/>
      <c r="K7" s="46" t="s">
        <v>1</v>
      </c>
    </row>
    <row r="8" spans="1:17" ht="25.5" customHeight="1" x14ac:dyDescent="0.25">
      <c r="A8" s="592" t="s">
        <v>307</v>
      </c>
      <c r="B8" s="592"/>
      <c r="C8" s="467" t="str">
        <f>_xlfn.IFNA(VLOOKUP(C9,LISTAS!$F$3:$H$100,3,),"")</f>
        <v xml:space="preserve">150000 - DIRECCIÓN SECTOR HACIENDA </v>
      </c>
      <c r="D8" s="467"/>
      <c r="E8" s="78"/>
      <c r="F8" s="61"/>
      <c r="G8" s="61"/>
      <c r="H8" s="61"/>
    </row>
    <row r="9" spans="1:17" ht="36.75" customHeight="1" x14ac:dyDescent="0.25">
      <c r="A9" s="593" t="s">
        <v>328</v>
      </c>
      <c r="B9" s="593"/>
      <c r="C9" s="468" t="str">
        <f>IF('ANALITICA PRESUPUESTO'!$B$8="","",'ANALITICA PRESUPUESTO'!$B$8)</f>
        <v>111 - Secretaría Distrital de Hacienda – SDH</v>
      </c>
      <c r="D9" s="468"/>
      <c r="E9" s="78"/>
      <c r="F9" s="128" t="s">
        <v>226</v>
      </c>
      <c r="G9" s="518"/>
      <c r="H9" s="518"/>
    </row>
    <row r="10" spans="1:17" ht="27" customHeight="1" x14ac:dyDescent="0.25">
      <c r="A10" s="592" t="s">
        <v>225</v>
      </c>
      <c r="B10" s="592"/>
      <c r="C10" s="499"/>
      <c r="D10" s="499"/>
      <c r="E10" s="139"/>
      <c r="F10" s="128" t="s">
        <v>308</v>
      </c>
      <c r="G10" s="501"/>
      <c r="H10" s="501"/>
    </row>
    <row r="11" spans="1:17" ht="29.25" customHeight="1" x14ac:dyDescent="0.25">
      <c r="A11" s="592" t="s">
        <v>309</v>
      </c>
      <c r="B11" s="592"/>
      <c r="C11" s="469"/>
      <c r="D11" s="469"/>
      <c r="E11" s="67"/>
      <c r="F11" s="129" t="s">
        <v>310</v>
      </c>
      <c r="G11" s="501"/>
      <c r="H11" s="501"/>
    </row>
    <row r="12" spans="1:17" ht="13.5" customHeight="1" x14ac:dyDescent="0.25">
      <c r="A12" s="377"/>
      <c r="B12" s="78"/>
      <c r="F12" s="64"/>
      <c r="G12" s="85"/>
      <c r="H12" s="85"/>
    </row>
    <row r="13" spans="1:17" ht="12" customHeight="1" x14ac:dyDescent="0.25">
      <c r="A13" s="382"/>
      <c r="B13" s="383"/>
      <c r="C13" s="384"/>
      <c r="D13" s="384"/>
      <c r="E13" s="384"/>
      <c r="F13" s="382"/>
      <c r="G13" s="382"/>
      <c r="H13" s="48"/>
    </row>
    <row r="14" spans="1:17" ht="8.25" customHeight="1" x14ac:dyDescent="0.25">
      <c r="B14" s="408"/>
      <c r="C14" s="408"/>
      <c r="D14" s="408"/>
      <c r="E14" s="408"/>
      <c r="F14" s="408"/>
      <c r="G14" s="408"/>
      <c r="H14" s="408"/>
    </row>
    <row r="15" spans="1:17" ht="18" customHeight="1" x14ac:dyDescent="0.25">
      <c r="A15" s="408" t="s">
        <v>265</v>
      </c>
      <c r="B15" s="408"/>
      <c r="C15" s="408"/>
      <c r="D15" s="408"/>
      <c r="E15" s="408"/>
      <c r="F15" s="408"/>
      <c r="G15" s="408"/>
      <c r="H15" s="408"/>
    </row>
    <row r="16" spans="1:17" ht="18" customHeight="1" x14ac:dyDescent="0.25">
      <c r="A16" s="377"/>
      <c r="B16" s="377"/>
      <c r="C16" s="409"/>
      <c r="D16" s="409"/>
      <c r="E16" s="409"/>
      <c r="F16" s="409"/>
      <c r="G16" s="129"/>
      <c r="H16" s="62"/>
    </row>
    <row r="17" spans="1:12" ht="29.25" customHeight="1" x14ac:dyDescent="0.25">
      <c r="A17" s="594" t="s">
        <v>801</v>
      </c>
      <c r="B17" s="594"/>
      <c r="C17" s="594"/>
      <c r="D17" s="594"/>
      <c r="E17" s="594"/>
      <c r="F17" s="594"/>
      <c r="G17" s="594"/>
      <c r="H17" s="594"/>
      <c r="I17" s="594"/>
      <c r="J17" s="594"/>
      <c r="K17" s="594"/>
      <c r="L17" s="594"/>
    </row>
    <row r="18" spans="1:12" ht="18" customHeight="1" thickBot="1" x14ac:dyDescent="0.3">
      <c r="A18" s="59"/>
      <c r="B18" s="59"/>
      <c r="C18" s="59"/>
      <c r="D18" s="59"/>
      <c r="E18" s="59"/>
      <c r="F18" s="59"/>
      <c r="G18" s="59"/>
      <c r="H18" s="59"/>
      <c r="I18" s="59"/>
      <c r="J18" s="61"/>
      <c r="K18" s="61"/>
      <c r="L18" s="61"/>
    </row>
    <row r="19" spans="1:12" ht="18" customHeight="1" x14ac:dyDescent="0.25">
      <c r="A19" s="595"/>
      <c r="B19" s="596" t="s">
        <v>495</v>
      </c>
      <c r="C19" s="597"/>
      <c r="D19" s="597"/>
      <c r="E19" s="597"/>
      <c r="F19" s="598"/>
      <c r="G19" s="599" t="s">
        <v>486</v>
      </c>
      <c r="H19" s="601" t="s">
        <v>487</v>
      </c>
      <c r="I19" s="601" t="s">
        <v>488</v>
      </c>
      <c r="J19" s="603" t="s">
        <v>489</v>
      </c>
      <c r="K19" s="587" t="s">
        <v>72</v>
      </c>
      <c r="L19" s="61"/>
    </row>
    <row r="20" spans="1:12" ht="57.75" customHeight="1" thickBot="1" x14ac:dyDescent="0.3">
      <c r="A20" s="595"/>
      <c r="B20" s="176" t="s">
        <v>490</v>
      </c>
      <c r="C20" s="379" t="s">
        <v>491</v>
      </c>
      <c r="D20" s="379" t="s">
        <v>492</v>
      </c>
      <c r="E20" s="379" t="s">
        <v>493</v>
      </c>
      <c r="F20" s="177" t="s">
        <v>494</v>
      </c>
      <c r="G20" s="600"/>
      <c r="H20" s="602"/>
      <c r="I20" s="602"/>
      <c r="J20" s="604"/>
      <c r="K20" s="588"/>
      <c r="L20" s="61"/>
    </row>
    <row r="21" spans="1:12" ht="79.5" customHeight="1" x14ac:dyDescent="0.25">
      <c r="A21" s="410"/>
      <c r="B21" s="178" t="s">
        <v>230</v>
      </c>
      <c r="C21" s="186" t="s">
        <v>231</v>
      </c>
      <c r="D21" s="180">
        <f t="shared" ref="D21:D24" si="0">(23462378626/28180338979)</f>
        <v>0.8325797160738263</v>
      </c>
      <c r="E21" s="374" t="s">
        <v>232</v>
      </c>
      <c r="F21" s="187" t="s">
        <v>233</v>
      </c>
      <c r="G21" s="182" t="s">
        <v>234</v>
      </c>
      <c r="H21" s="612" t="s">
        <v>235</v>
      </c>
      <c r="I21" s="186" t="s">
        <v>496</v>
      </c>
      <c r="J21" s="589" t="s">
        <v>236</v>
      </c>
      <c r="K21" s="183">
        <f>IF(D21="","",D21)</f>
        <v>0.8325797160738263</v>
      </c>
    </row>
    <row r="22" spans="1:12" ht="72" customHeight="1" x14ac:dyDescent="0.25">
      <c r="A22" s="410"/>
      <c r="B22" s="156" t="s">
        <v>237</v>
      </c>
      <c r="C22" s="49" t="s">
        <v>238</v>
      </c>
      <c r="D22" s="160">
        <f t="shared" si="0"/>
        <v>0.8325797160738263</v>
      </c>
      <c r="E22" s="375" t="s">
        <v>232</v>
      </c>
      <c r="F22" s="50" t="s">
        <v>239</v>
      </c>
      <c r="G22" s="51" t="s">
        <v>234</v>
      </c>
      <c r="H22" s="613"/>
      <c r="I22" s="49" t="s">
        <v>497</v>
      </c>
      <c r="J22" s="590"/>
      <c r="K22" s="184">
        <f t="shared" ref="K22:K29" si="1">IF(D22="","",D22)</f>
        <v>0.8325797160738263</v>
      </c>
    </row>
    <row r="23" spans="1:12" ht="75.75" customHeight="1" x14ac:dyDescent="0.25">
      <c r="A23" s="410"/>
      <c r="B23" s="156" t="s">
        <v>240</v>
      </c>
      <c r="C23" s="49" t="s">
        <v>241</v>
      </c>
      <c r="D23" s="160">
        <f t="shared" si="0"/>
        <v>0.8325797160738263</v>
      </c>
      <c r="E23" s="375" t="s">
        <v>232</v>
      </c>
      <c r="F23" s="50" t="s">
        <v>242</v>
      </c>
      <c r="G23" s="51" t="s">
        <v>234</v>
      </c>
      <c r="H23" s="613"/>
      <c r="I23" s="49" t="s">
        <v>498</v>
      </c>
      <c r="J23" s="590"/>
      <c r="K23" s="184">
        <f t="shared" si="1"/>
        <v>0.8325797160738263</v>
      </c>
    </row>
    <row r="24" spans="1:12" ht="101.25" customHeight="1" x14ac:dyDescent="0.25">
      <c r="A24" s="410"/>
      <c r="B24" s="157" t="s">
        <v>514</v>
      </c>
      <c r="C24" s="52" t="s">
        <v>515</v>
      </c>
      <c r="D24" s="160">
        <f t="shared" si="0"/>
        <v>0.8325797160738263</v>
      </c>
      <c r="E24" s="159" t="s">
        <v>232</v>
      </c>
      <c r="F24" s="53" t="s">
        <v>243</v>
      </c>
      <c r="G24" s="51" t="s">
        <v>234</v>
      </c>
      <c r="H24" s="613"/>
      <c r="I24" s="49" t="s">
        <v>499</v>
      </c>
      <c r="J24" s="590"/>
      <c r="K24" s="184">
        <f t="shared" si="1"/>
        <v>0.8325797160738263</v>
      </c>
    </row>
    <row r="25" spans="1:12" ht="82.5" customHeight="1" x14ac:dyDescent="0.25">
      <c r="A25" s="410"/>
      <c r="B25" s="157" t="s">
        <v>244</v>
      </c>
      <c r="C25" s="52" t="s">
        <v>245</v>
      </c>
      <c r="D25" s="160"/>
      <c r="E25" s="159" t="s">
        <v>232</v>
      </c>
      <c r="F25" s="53" t="s">
        <v>246</v>
      </c>
      <c r="G25" s="51" t="s">
        <v>234</v>
      </c>
      <c r="H25" s="613"/>
      <c r="I25" s="49" t="s">
        <v>501</v>
      </c>
      <c r="J25" s="590"/>
      <c r="K25" s="184" t="str">
        <f t="shared" si="1"/>
        <v/>
      </c>
    </row>
    <row r="26" spans="1:12" ht="81.75" customHeight="1" x14ac:dyDescent="0.25">
      <c r="A26" s="410"/>
      <c r="B26" s="157" t="s">
        <v>247</v>
      </c>
      <c r="C26" s="52" t="s">
        <v>248</v>
      </c>
      <c r="D26" s="160"/>
      <c r="E26" s="159" t="s">
        <v>232</v>
      </c>
      <c r="F26" s="53" t="s">
        <v>249</v>
      </c>
      <c r="G26" s="51" t="s">
        <v>234</v>
      </c>
      <c r="H26" s="613"/>
      <c r="I26" s="49" t="s">
        <v>500</v>
      </c>
      <c r="J26" s="590"/>
      <c r="K26" s="184" t="str">
        <f t="shared" si="1"/>
        <v/>
      </c>
    </row>
    <row r="27" spans="1:12" ht="78" customHeight="1" x14ac:dyDescent="0.25">
      <c r="A27" s="410"/>
      <c r="B27" s="156" t="s">
        <v>516</v>
      </c>
      <c r="C27" s="49" t="s">
        <v>518</v>
      </c>
      <c r="D27" s="160">
        <f>(19546282282/28180338979)</f>
        <v>0.69361416470418957</v>
      </c>
      <c r="E27" s="375" t="s">
        <v>232</v>
      </c>
      <c r="F27" s="50" t="s">
        <v>502</v>
      </c>
      <c r="G27" s="51" t="s">
        <v>234</v>
      </c>
      <c r="H27" s="613"/>
      <c r="I27" s="605" t="s">
        <v>503</v>
      </c>
      <c r="J27" s="590"/>
      <c r="K27" s="184">
        <f>IF(D27="","",IF(D27&gt;0,IF(OR((1-D27)&gt;0.8,(1-D27)&gt;0.5),1-D27-0.1,1-D27),1+D27))</f>
        <v>0.30638583529581043</v>
      </c>
    </row>
    <row r="28" spans="1:12" ht="84" customHeight="1" x14ac:dyDescent="0.25">
      <c r="A28" s="410"/>
      <c r="B28" s="156" t="s">
        <v>517</v>
      </c>
      <c r="C28" s="49" t="s">
        <v>519</v>
      </c>
      <c r="D28" s="160">
        <f>(6546282262/28180338979)</f>
        <v>0.23229962800938245</v>
      </c>
      <c r="E28" s="375" t="s">
        <v>232</v>
      </c>
      <c r="F28" s="50" t="s">
        <v>502</v>
      </c>
      <c r="G28" s="51" t="s">
        <v>234</v>
      </c>
      <c r="H28" s="613"/>
      <c r="I28" s="606"/>
      <c r="J28" s="590"/>
      <c r="K28" s="184">
        <f>IF(D28="","",IF(D28&gt;0,IF(OR((1-D28)&gt;0.8,(1-D28)&gt;0.5),1-D28-0.1,1-D28),1+D28))</f>
        <v>0.6677003719906176</v>
      </c>
      <c r="L28" s="411"/>
    </row>
    <row r="29" spans="1:12" ht="76.5" x14ac:dyDescent="0.25">
      <c r="A29" s="410"/>
      <c r="B29" s="156" t="s">
        <v>250</v>
      </c>
      <c r="C29" s="49" t="s">
        <v>259</v>
      </c>
      <c r="D29" s="160">
        <f>(23462378626/28180338979)</f>
        <v>0.8325797160738263</v>
      </c>
      <c r="E29" s="375" t="s">
        <v>232</v>
      </c>
      <c r="F29" s="50" t="s">
        <v>251</v>
      </c>
      <c r="G29" s="51" t="s">
        <v>234</v>
      </c>
      <c r="H29" s="613"/>
      <c r="I29" s="49" t="s">
        <v>504</v>
      </c>
      <c r="J29" s="590"/>
      <c r="K29" s="184">
        <f t="shared" si="1"/>
        <v>0.8325797160738263</v>
      </c>
    </row>
    <row r="30" spans="1:12" ht="103.5" customHeight="1" thickBot="1" x14ac:dyDescent="0.3">
      <c r="A30" s="410"/>
      <c r="B30" s="158" t="s">
        <v>252</v>
      </c>
      <c r="C30" s="54" t="s">
        <v>253</v>
      </c>
      <c r="D30" s="172">
        <f>(9546223626/28180338979)</f>
        <v>0.33875474787985516</v>
      </c>
      <c r="E30" s="376" t="s">
        <v>232</v>
      </c>
      <c r="F30" s="173" t="s">
        <v>254</v>
      </c>
      <c r="G30" s="174" t="s">
        <v>234</v>
      </c>
      <c r="H30" s="614"/>
      <c r="I30" s="54" t="s">
        <v>255</v>
      </c>
      <c r="J30" s="591"/>
      <c r="K30" s="185">
        <f>IF(D30="","",IF(D30&gt;0,1-D30,1+D30))</f>
        <v>0.66124525212014484</v>
      </c>
    </row>
    <row r="31" spans="1:12" ht="103.5" customHeight="1" x14ac:dyDescent="0.25">
      <c r="A31" s="412"/>
      <c r="B31" s="178" t="s">
        <v>505</v>
      </c>
      <c r="C31" s="179" t="s">
        <v>256</v>
      </c>
      <c r="D31" s="180">
        <f>(23462378626/28180338979)</f>
        <v>0.8325797160738263</v>
      </c>
      <c r="E31" s="374" t="s">
        <v>232</v>
      </c>
      <c r="F31" s="181" t="s">
        <v>257</v>
      </c>
      <c r="G31" s="182" t="s">
        <v>234</v>
      </c>
      <c r="H31" s="250" t="s">
        <v>506</v>
      </c>
      <c r="I31" s="251" t="s">
        <v>507</v>
      </c>
      <c r="J31" s="252" t="s">
        <v>258</v>
      </c>
      <c r="K31" s="183">
        <f>IF(D31="","",D31)</f>
        <v>0.8325797160738263</v>
      </c>
    </row>
    <row r="32" spans="1:12" ht="34.5" customHeight="1" x14ac:dyDescent="0.25">
      <c r="A32" s="412"/>
      <c r="B32" s="167"/>
      <c r="C32" s="161"/>
      <c r="D32" s="168"/>
      <c r="E32" s="165"/>
      <c r="F32" s="169"/>
      <c r="G32" s="163"/>
      <c r="H32" s="170"/>
      <c r="I32" s="161"/>
      <c r="J32" s="165"/>
      <c r="K32" s="171"/>
    </row>
    <row r="33" spans="1:15" ht="103.5" customHeight="1" x14ac:dyDescent="0.25">
      <c r="A33" s="412"/>
      <c r="B33" s="577" t="s">
        <v>802</v>
      </c>
      <c r="C33" s="578"/>
      <c r="D33" s="578"/>
      <c r="E33" s="579"/>
      <c r="F33" s="169"/>
      <c r="G33" s="163"/>
      <c r="H33" s="170"/>
      <c r="I33" s="161"/>
      <c r="J33" s="165"/>
      <c r="K33" s="171"/>
    </row>
    <row r="34" spans="1:15" ht="32.25" customHeight="1" x14ac:dyDescent="0.25">
      <c r="A34" s="377"/>
      <c r="B34" s="580" t="s">
        <v>803</v>
      </c>
      <c r="C34" s="580"/>
      <c r="D34" s="161"/>
      <c r="E34" s="161"/>
      <c r="F34" s="162"/>
      <c r="G34" s="163"/>
      <c r="H34" s="164"/>
      <c r="I34" s="163"/>
      <c r="J34" s="165"/>
      <c r="K34" s="166"/>
    </row>
    <row r="35" spans="1:15" ht="44.25" customHeight="1" x14ac:dyDescent="0.25">
      <c r="A35" s="618" t="s">
        <v>688</v>
      </c>
      <c r="B35" s="618"/>
      <c r="C35" s="618"/>
      <c r="D35" s="618"/>
      <c r="E35" s="618"/>
      <c r="F35" s="618"/>
      <c r="G35" s="618"/>
      <c r="H35" s="618"/>
      <c r="I35" s="618"/>
      <c r="J35" s="618"/>
      <c r="K35" s="618"/>
      <c r="L35" s="618"/>
      <c r="M35" s="618"/>
      <c r="N35" s="618"/>
    </row>
    <row r="36" spans="1:15" ht="16.5" customHeight="1" thickBot="1" x14ac:dyDescent="0.3">
      <c r="B36" s="377"/>
      <c r="C36" s="409"/>
      <c r="D36" s="409"/>
      <c r="E36" s="409"/>
      <c r="F36" s="409"/>
      <c r="G36" s="129"/>
      <c r="H36" s="62"/>
    </row>
    <row r="37" spans="1:15" ht="67.5" customHeight="1" thickBot="1" x14ac:dyDescent="0.3">
      <c r="A37" s="210" t="s">
        <v>59</v>
      </c>
      <c r="B37" s="208" t="s">
        <v>695</v>
      </c>
      <c r="C37" s="208" t="s">
        <v>689</v>
      </c>
      <c r="D37" s="208" t="s">
        <v>529</v>
      </c>
      <c r="E37" s="615" t="s">
        <v>806</v>
      </c>
      <c r="F37" s="616"/>
      <c r="G37" s="208" t="s">
        <v>530</v>
      </c>
      <c r="H37" s="208" t="s">
        <v>531</v>
      </c>
      <c r="I37" s="208" t="s">
        <v>696</v>
      </c>
      <c r="J37" s="208" t="s">
        <v>698</v>
      </c>
      <c r="K37" s="208" t="s">
        <v>532</v>
      </c>
      <c r="L37" s="208" t="s">
        <v>697</v>
      </c>
      <c r="M37" s="208" t="s">
        <v>60</v>
      </c>
      <c r="N37" s="211" t="s">
        <v>528</v>
      </c>
      <c r="O37" s="211" t="s">
        <v>61</v>
      </c>
    </row>
    <row r="38" spans="1:15" ht="87" customHeight="1" thickBot="1" x14ac:dyDescent="0.3">
      <c r="A38" s="197">
        <v>1</v>
      </c>
      <c r="B38" s="269" t="s">
        <v>701</v>
      </c>
      <c r="C38" s="254" t="s">
        <v>62</v>
      </c>
      <c r="D38" s="198" t="s">
        <v>224</v>
      </c>
      <c r="E38" s="583" t="s">
        <v>714</v>
      </c>
      <c r="F38" s="583"/>
      <c r="G38" s="240" t="s">
        <v>460</v>
      </c>
      <c r="H38" s="198" t="s">
        <v>77</v>
      </c>
      <c r="I38" s="199">
        <v>54544654</v>
      </c>
      <c r="J38" s="274">
        <f>_xlfn.IFNA(IF(VLOOKUP(D38,'ANALITICA PRESUPUESTO'!$B$18:$B$96,1,)="","No se audito",IF(I38/VLOOKUP(D38,'ANALITICA PRESUPUESTO'!$B$18:$C$96,2,)*100&gt;0, I38/VLOOKUP(D38,'ANALITICA PRESUPUESTO'!$B$18:$C$96,2,),"")),"")</f>
        <v>5.4544653999999996E-3</v>
      </c>
      <c r="K38" s="255" t="s">
        <v>699</v>
      </c>
      <c r="L38" s="200"/>
      <c r="M38" s="198" t="s">
        <v>471</v>
      </c>
      <c r="N38" s="201" t="s">
        <v>700</v>
      </c>
      <c r="O38" s="202"/>
    </row>
    <row r="39" spans="1:15" ht="115.5" customHeight="1" thickBot="1" x14ac:dyDescent="0.3">
      <c r="A39" s="203">
        <v>2</v>
      </c>
      <c r="B39" s="253" t="s">
        <v>702</v>
      </c>
      <c r="C39" s="254" t="s">
        <v>67</v>
      </c>
      <c r="D39" s="193" t="s">
        <v>223</v>
      </c>
      <c r="E39" s="583" t="s">
        <v>728</v>
      </c>
      <c r="F39" s="583"/>
      <c r="G39" s="372" t="s">
        <v>459</v>
      </c>
      <c r="H39" s="193" t="s">
        <v>85</v>
      </c>
      <c r="I39" s="195">
        <v>3123100</v>
      </c>
      <c r="J39" s="274">
        <f>_xlfn.IFNA(IF(VLOOKUP(D39,'ANALITICA PRESUPUESTO'!$B$18:$B$96,1,)="","No se audito",IF(I39/VLOOKUP(D39,'ANALITICA PRESUPUESTO'!$B$18:$C$96,2,)*100&gt;0, I39/VLOOKUP(D39,'ANALITICA PRESUPUESTO'!$B$18:$C$96,2,),"")),"")</f>
        <v>3.1231E-4</v>
      </c>
      <c r="K39" s="256" t="s">
        <v>703</v>
      </c>
      <c r="L39" s="149"/>
      <c r="M39" s="193" t="s">
        <v>471</v>
      </c>
      <c r="N39" s="196" t="s">
        <v>704</v>
      </c>
      <c r="O39" s="204"/>
    </row>
    <row r="40" spans="1:15" ht="129" customHeight="1" thickBot="1" x14ac:dyDescent="0.3">
      <c r="A40" s="203">
        <v>3</v>
      </c>
      <c r="B40" s="359" t="s">
        <v>707</v>
      </c>
      <c r="C40" s="254" t="s">
        <v>691</v>
      </c>
      <c r="D40" s="193" t="s">
        <v>513</v>
      </c>
      <c r="E40" s="583" t="s">
        <v>729</v>
      </c>
      <c r="F40" s="583"/>
      <c r="G40" s="372" t="s">
        <v>468</v>
      </c>
      <c r="H40" s="193" t="s">
        <v>74</v>
      </c>
      <c r="I40" s="195">
        <v>1000000</v>
      </c>
      <c r="J40" s="274">
        <f>_xlfn.IFNA(IF(VLOOKUP(D40,'ANALITICA PRESUPUESTO'!$B$18:$B$96,1,)="","No se audito",IF(I40/VLOOKUP(D40,'ANALITICA PRESUPUESTO'!$B$18:$C$96,2,)*100&gt;0, I40/VLOOKUP(D40,'ANALITICA PRESUPUESTO'!$B$18:$C$96,2,),"")),"")</f>
        <v>0.83208520552504572</v>
      </c>
      <c r="K40" s="256" t="s">
        <v>705</v>
      </c>
      <c r="L40" s="149"/>
      <c r="M40" s="193" t="s">
        <v>472</v>
      </c>
      <c r="N40" s="196" t="s">
        <v>706</v>
      </c>
      <c r="O40" s="204"/>
    </row>
    <row r="41" spans="1:15" ht="148.5" customHeight="1" thickBot="1" x14ac:dyDescent="0.3">
      <c r="A41" s="203">
        <v>4</v>
      </c>
      <c r="B41" s="359" t="s">
        <v>708</v>
      </c>
      <c r="C41" s="254" t="s">
        <v>775</v>
      </c>
      <c r="D41" s="193" t="s">
        <v>609</v>
      </c>
      <c r="E41" s="583" t="s">
        <v>730</v>
      </c>
      <c r="F41" s="583"/>
      <c r="G41" s="372" t="s">
        <v>481</v>
      </c>
      <c r="H41" s="193" t="s">
        <v>85</v>
      </c>
      <c r="I41" s="195">
        <v>324553</v>
      </c>
      <c r="J41" s="274">
        <f>_xlfn.IFNA(IF(VLOOKUP(D41,'ANALITICA PRESUPUESTO'!$B$18:$B$96,1,)="","No se audito",IF(I41/VLOOKUP(D41,'ANALITICA PRESUPUESTO'!$B$18:$C$96,2,)*100&gt;0, I41/VLOOKUP(D41,'ANALITICA PRESUPUESTO'!$B$18:$C$96,2,),"")),"")</f>
        <v>0.27005574970877017</v>
      </c>
      <c r="K41" s="256" t="s">
        <v>709</v>
      </c>
      <c r="L41" s="149"/>
      <c r="M41" s="193" t="s">
        <v>472</v>
      </c>
      <c r="N41" s="196" t="s">
        <v>710</v>
      </c>
      <c r="O41" s="204"/>
    </row>
    <row r="42" spans="1:15" ht="77.25" customHeight="1" thickBot="1" x14ac:dyDescent="0.3">
      <c r="A42" s="203">
        <v>5</v>
      </c>
      <c r="B42" s="359" t="s">
        <v>713</v>
      </c>
      <c r="C42" s="254" t="s">
        <v>776</v>
      </c>
      <c r="D42" s="193" t="s">
        <v>609</v>
      </c>
      <c r="E42" s="583" t="s">
        <v>766</v>
      </c>
      <c r="F42" s="583"/>
      <c r="G42" s="372" t="s">
        <v>465</v>
      </c>
      <c r="H42" s="193" t="s">
        <v>77</v>
      </c>
      <c r="I42" s="195">
        <v>135313</v>
      </c>
      <c r="J42" s="274">
        <f>_xlfn.IFNA(IF(VLOOKUP(D42,'ANALITICA PRESUPUESTO'!$B$18:$B$96,1,)="","No se audito",IF(I42/VLOOKUP(D42,'ANALITICA PRESUPUESTO'!$B$18:$C$96,2,)*100&gt;0, I42/VLOOKUP(D42,'ANALITICA PRESUPUESTO'!$B$18:$C$96,2,),"")),"")</f>
        <v>0.11259194541521052</v>
      </c>
      <c r="K42" s="256" t="s">
        <v>711</v>
      </c>
      <c r="L42" s="149"/>
      <c r="M42" s="193" t="s">
        <v>471</v>
      </c>
      <c r="N42" s="196" t="s">
        <v>712</v>
      </c>
      <c r="O42" s="204"/>
    </row>
    <row r="43" spans="1:15" ht="15.75" customHeight="1" thickBot="1" x14ac:dyDescent="0.3">
      <c r="A43" s="203">
        <v>6</v>
      </c>
      <c r="B43" s="413"/>
      <c r="C43" s="254"/>
      <c r="D43" s="193"/>
      <c r="E43" s="583"/>
      <c r="F43" s="583"/>
      <c r="G43" s="372"/>
      <c r="H43" s="193"/>
      <c r="I43" s="195"/>
      <c r="J43" s="274" t="str">
        <f>_xlfn.IFNA(IF(VLOOKUP(D43,'ANALITICA PRESUPUESTO'!$B$18:$B$96,1,)="","No se audito",IF(I43/VLOOKUP(D43,'ANALITICA PRESUPUESTO'!$B$18:$C$96,2,)*100&gt;0, I43/VLOOKUP(D43,'ANALITICA PRESUPUESTO'!$B$18:$C$96,2,),"")),"")</f>
        <v/>
      </c>
      <c r="K43" s="256"/>
      <c r="L43" s="149"/>
      <c r="M43" s="193"/>
      <c r="N43" s="196"/>
      <c r="O43" s="204"/>
    </row>
    <row r="44" spans="1:15" ht="15.75" customHeight="1" thickBot="1" x14ac:dyDescent="0.3">
      <c r="A44" s="203">
        <v>7</v>
      </c>
      <c r="B44" s="413"/>
      <c r="C44" s="254"/>
      <c r="D44" s="193"/>
      <c r="E44" s="583"/>
      <c r="F44" s="583"/>
      <c r="G44" s="372"/>
      <c r="H44" s="193"/>
      <c r="I44" s="195"/>
      <c r="J44" s="274" t="str">
        <f>_xlfn.IFNA(IF(VLOOKUP(D44,'ANALITICA PRESUPUESTO'!$B$18:$B$96,1,)="","No se audito",IF(I44/VLOOKUP(D44,'ANALITICA PRESUPUESTO'!$B$18:$C$96,2,)*100&gt;0, I44/VLOOKUP(D44,'ANALITICA PRESUPUESTO'!$B$18:$C$96,2,),"")),"")</f>
        <v/>
      </c>
      <c r="K44" s="256"/>
      <c r="L44" s="149"/>
      <c r="M44" s="193"/>
      <c r="N44" s="196"/>
      <c r="O44" s="204"/>
    </row>
    <row r="45" spans="1:15" ht="15.75" customHeight="1" thickBot="1" x14ac:dyDescent="0.3">
      <c r="A45" s="203">
        <v>8</v>
      </c>
      <c r="B45" s="413"/>
      <c r="C45" s="254"/>
      <c r="D45" s="193"/>
      <c r="E45" s="583"/>
      <c r="F45" s="583"/>
      <c r="G45" s="372"/>
      <c r="H45" s="193"/>
      <c r="I45" s="195"/>
      <c r="J45" s="274" t="str">
        <f>_xlfn.IFNA(IF(VLOOKUP(D45,'ANALITICA PRESUPUESTO'!$B$18:$B$96,1,)="","No se audito",IF(I45/VLOOKUP(D45,'ANALITICA PRESUPUESTO'!$B$18:$C$96,2,)*100&gt;0, I45/VLOOKUP(D45,'ANALITICA PRESUPUESTO'!$B$18:$C$96,2,),"")),"")</f>
        <v/>
      </c>
      <c r="K45" s="256"/>
      <c r="L45" s="149"/>
      <c r="M45" s="193"/>
      <c r="N45" s="196"/>
      <c r="O45" s="204"/>
    </row>
    <row r="46" spans="1:15" ht="15.75" customHeight="1" thickBot="1" x14ac:dyDescent="0.3">
      <c r="A46" s="203">
        <v>9</v>
      </c>
      <c r="B46" s="413"/>
      <c r="C46" s="254"/>
      <c r="D46" s="193"/>
      <c r="E46" s="583"/>
      <c r="F46" s="583"/>
      <c r="G46" s="372"/>
      <c r="H46" s="193"/>
      <c r="I46" s="195"/>
      <c r="J46" s="274" t="str">
        <f>_xlfn.IFNA(IF(VLOOKUP(D46,'ANALITICA PRESUPUESTO'!$B$18:$B$96,1,)="","No se audito",IF(I46/VLOOKUP(D46,'ANALITICA PRESUPUESTO'!$B$18:$C$96,2,)*100&gt;0, I46/VLOOKUP(D46,'ANALITICA PRESUPUESTO'!$B$18:$C$96,2,),"")),"")</f>
        <v/>
      </c>
      <c r="K46" s="256"/>
      <c r="L46" s="149"/>
      <c r="M46" s="193"/>
      <c r="N46" s="196"/>
      <c r="O46" s="204"/>
    </row>
    <row r="47" spans="1:15" ht="15.75" customHeight="1" thickBot="1" x14ac:dyDescent="0.3">
      <c r="A47" s="203">
        <v>10</v>
      </c>
      <c r="B47" s="413"/>
      <c r="C47" s="254"/>
      <c r="D47" s="193"/>
      <c r="E47" s="583"/>
      <c r="F47" s="583"/>
      <c r="G47" s="372"/>
      <c r="H47" s="193"/>
      <c r="I47" s="195"/>
      <c r="J47" s="274" t="str">
        <f>_xlfn.IFNA(IF(VLOOKUP(D47,'ANALITICA PRESUPUESTO'!$B$18:$B$96,1,)="","No se audito",IF(I47/VLOOKUP(D47,'ANALITICA PRESUPUESTO'!$B$18:$C$96,2,)*100&gt;0, I47/VLOOKUP(D47,'ANALITICA PRESUPUESTO'!$B$18:$C$96,2,),"")),"")</f>
        <v/>
      </c>
      <c r="K47" s="256"/>
      <c r="L47" s="149"/>
      <c r="M47" s="193"/>
      <c r="N47" s="196"/>
      <c r="O47" s="204"/>
    </row>
    <row r="48" spans="1:15" ht="15.75" customHeight="1" thickBot="1" x14ac:dyDescent="0.3">
      <c r="A48" s="203">
        <v>11</v>
      </c>
      <c r="B48" s="413"/>
      <c r="C48" s="254"/>
      <c r="D48" s="193"/>
      <c r="E48" s="583"/>
      <c r="F48" s="583"/>
      <c r="G48" s="372"/>
      <c r="H48" s="193"/>
      <c r="I48" s="195"/>
      <c r="J48" s="274" t="str">
        <f>_xlfn.IFNA(IF(VLOOKUP(D48,'ANALITICA PRESUPUESTO'!$B$18:$B$96,1,)="","No se audito",IF(I48/VLOOKUP(D48,'ANALITICA PRESUPUESTO'!$B$18:$C$96,2,)*100&gt;0, I48/VLOOKUP(D48,'ANALITICA PRESUPUESTO'!$B$18:$C$96,2,),"")),"")</f>
        <v/>
      </c>
      <c r="K48" s="256"/>
      <c r="L48" s="149"/>
      <c r="M48" s="193"/>
      <c r="N48" s="196"/>
      <c r="O48" s="204"/>
    </row>
    <row r="49" spans="1:15" ht="15.75" customHeight="1" thickBot="1" x14ac:dyDescent="0.3">
      <c r="A49" s="203">
        <v>12</v>
      </c>
      <c r="B49" s="413"/>
      <c r="C49" s="254"/>
      <c r="D49" s="193"/>
      <c r="E49" s="583"/>
      <c r="F49" s="583"/>
      <c r="G49" s="372"/>
      <c r="H49" s="193"/>
      <c r="I49" s="195"/>
      <c r="J49" s="274" t="str">
        <f>_xlfn.IFNA(IF(VLOOKUP(D49,'ANALITICA PRESUPUESTO'!$B$18:$B$96,1,)="","No se audito",IF(I49/VLOOKUP(D49,'ANALITICA PRESUPUESTO'!$B$18:$C$96,2,)*100&gt;0, I49/VLOOKUP(D49,'ANALITICA PRESUPUESTO'!$B$18:$C$96,2,),"")),"")</f>
        <v/>
      </c>
      <c r="K49" s="256"/>
      <c r="L49" s="149"/>
      <c r="M49" s="193"/>
      <c r="N49" s="196"/>
      <c r="O49" s="204"/>
    </row>
    <row r="50" spans="1:15" ht="15.75" customHeight="1" thickBot="1" x14ac:dyDescent="0.3">
      <c r="A50" s="203">
        <v>13</v>
      </c>
      <c r="B50" s="413"/>
      <c r="C50" s="254"/>
      <c r="D50" s="193"/>
      <c r="E50" s="583"/>
      <c r="F50" s="583"/>
      <c r="G50" s="372"/>
      <c r="H50" s="193"/>
      <c r="I50" s="195"/>
      <c r="J50" s="274" t="str">
        <f>_xlfn.IFNA(IF(VLOOKUP(D50,'ANALITICA PRESUPUESTO'!$B$18:$B$96,1,)="","No se audito",IF(I50/VLOOKUP(D50,'ANALITICA PRESUPUESTO'!$B$18:$C$96,2,)*100&gt;0, I50/VLOOKUP(D50,'ANALITICA PRESUPUESTO'!$B$18:$C$96,2,),"")),"")</f>
        <v/>
      </c>
      <c r="K50" s="256"/>
      <c r="L50" s="149"/>
      <c r="M50" s="193"/>
      <c r="N50" s="196"/>
      <c r="O50" s="204"/>
    </row>
    <row r="51" spans="1:15" ht="15.75" customHeight="1" thickBot="1" x14ac:dyDescent="0.3">
      <c r="A51" s="203">
        <v>14</v>
      </c>
      <c r="B51" s="413"/>
      <c r="C51" s="254"/>
      <c r="D51" s="193"/>
      <c r="E51" s="583"/>
      <c r="F51" s="583"/>
      <c r="G51" s="372"/>
      <c r="H51" s="193"/>
      <c r="I51" s="195"/>
      <c r="J51" s="274" t="str">
        <f>_xlfn.IFNA(IF(VLOOKUP(D51,'ANALITICA PRESUPUESTO'!$B$18:$B$96,1,)="","No se audito",IF(I51/VLOOKUP(D51,'ANALITICA PRESUPUESTO'!$B$18:$C$96,2,)*100&gt;0, I51/VLOOKUP(D51,'ANALITICA PRESUPUESTO'!$B$18:$C$96,2,),"")),"")</f>
        <v/>
      </c>
      <c r="K51" s="256"/>
      <c r="L51" s="149"/>
      <c r="M51" s="193"/>
      <c r="N51" s="196"/>
      <c r="O51" s="204"/>
    </row>
    <row r="52" spans="1:15" ht="32.25" customHeight="1" thickBot="1" x14ac:dyDescent="0.3">
      <c r="A52" s="203">
        <v>15</v>
      </c>
      <c r="B52" s="413"/>
      <c r="C52" s="254"/>
      <c r="D52" s="193"/>
      <c r="E52" s="583"/>
      <c r="F52" s="583"/>
      <c r="G52" s="372"/>
      <c r="H52" s="193"/>
      <c r="I52" s="195"/>
      <c r="J52" s="274" t="str">
        <f>_xlfn.IFNA(IF(VLOOKUP(D52,'ANALITICA PRESUPUESTO'!$B$18:$B$96,1,)="","No se audito",IF(I52/VLOOKUP(D52,'ANALITICA PRESUPUESTO'!$B$18:$C$96,2,)*100&gt;0, I52/VLOOKUP(D52,'ANALITICA PRESUPUESTO'!$B$18:$C$96,2,),"")),"")</f>
        <v/>
      </c>
      <c r="K52" s="256"/>
      <c r="L52" s="149"/>
      <c r="M52" s="193"/>
      <c r="N52" s="196"/>
      <c r="O52" s="204"/>
    </row>
    <row r="53" spans="1:15" ht="27" customHeight="1" thickBot="1" x14ac:dyDescent="0.3">
      <c r="A53" s="222" t="s">
        <v>70</v>
      </c>
      <c r="B53" s="414"/>
      <c r="C53" s="254"/>
      <c r="D53" s="194"/>
      <c r="E53" s="583"/>
      <c r="F53" s="583"/>
      <c r="G53" s="239"/>
      <c r="H53" s="194"/>
      <c r="I53" s="223"/>
      <c r="J53" s="274" t="str">
        <f>_xlfn.IFNA(IF(VLOOKUP(D53,'ANALITICA PRESUPUESTO'!$B$18:$B$96,1,)="","No se audito",IF(I53/VLOOKUP(D53,'ANALITICA PRESUPUESTO'!$B$18:$C$96,2,)*100&gt;0, I53/VLOOKUP(D53,'ANALITICA PRESUPUESTO'!$B$18:$C$96,2,),"")),"")</f>
        <v/>
      </c>
      <c r="K53" s="257"/>
      <c r="L53" s="151"/>
      <c r="M53" s="194"/>
      <c r="N53" s="205"/>
      <c r="O53" s="206"/>
    </row>
    <row r="54" spans="1:15" ht="27" customHeight="1" thickBot="1" x14ac:dyDescent="0.3">
      <c r="A54" s="611" t="s">
        <v>480</v>
      </c>
      <c r="B54" s="611"/>
      <c r="C54" s="611"/>
      <c r="D54" s="611"/>
      <c r="E54" s="611"/>
      <c r="F54" s="611"/>
      <c r="G54" s="611"/>
      <c r="H54" s="221">
        <f>SUM(I38:I53)</f>
        <v>59127620</v>
      </c>
      <c r="I54" s="219"/>
      <c r="J54" s="371"/>
      <c r="K54" s="220"/>
      <c r="L54" s="150"/>
      <c r="M54" s="67"/>
      <c r="N54" s="371"/>
      <c r="O54" s="371"/>
    </row>
    <row r="55" spans="1:15" ht="27" customHeight="1" x14ac:dyDescent="0.25">
      <c r="A55" s="78" t="s">
        <v>454</v>
      </c>
      <c r="L55" s="67"/>
      <c r="M55" s="67"/>
      <c r="N55" s="67"/>
      <c r="O55" s="67"/>
    </row>
    <row r="56" spans="1:15" ht="21" customHeight="1" x14ac:dyDescent="0.25">
      <c r="L56" s="134"/>
    </row>
    <row r="57" spans="1:15" ht="39" customHeight="1" x14ac:dyDescent="0.25">
      <c r="A57" s="610" t="s">
        <v>807</v>
      </c>
      <c r="B57" s="610"/>
      <c r="C57" s="610"/>
      <c r="D57" s="610"/>
      <c r="E57" s="610"/>
      <c r="F57" s="610"/>
      <c r="G57" s="610"/>
      <c r="H57" s="610"/>
      <c r="I57" s="610"/>
    </row>
    <row r="58" spans="1:15" ht="27.75" customHeight="1" x14ac:dyDescent="0.25">
      <c r="A58" s="610"/>
      <c r="B58" s="610"/>
      <c r="C58" s="610"/>
      <c r="D58" s="610"/>
      <c r="E58" s="610"/>
      <c r="F58" s="610"/>
      <c r="G58" s="610"/>
      <c r="H58" s="610"/>
      <c r="I58" s="610"/>
    </row>
    <row r="59" spans="1:15" ht="34.5" customHeight="1" x14ac:dyDescent="0.25">
      <c r="A59" s="610"/>
      <c r="B59" s="610"/>
      <c r="C59" s="610"/>
      <c r="D59" s="610"/>
      <c r="E59" s="610"/>
      <c r="F59" s="610"/>
      <c r="G59" s="610"/>
      <c r="H59" s="610"/>
      <c r="I59" s="610"/>
    </row>
    <row r="60" spans="1:15" x14ac:dyDescent="0.25">
      <c r="A60" s="610"/>
      <c r="B60" s="610"/>
      <c r="C60" s="610"/>
      <c r="D60" s="610"/>
      <c r="E60" s="610"/>
      <c r="F60" s="610"/>
      <c r="G60" s="610"/>
      <c r="H60" s="610"/>
      <c r="I60" s="610"/>
    </row>
    <row r="61" spans="1:15" x14ac:dyDescent="0.25">
      <c r="A61" s="610"/>
      <c r="B61" s="610"/>
      <c r="C61" s="610"/>
      <c r="D61" s="610"/>
      <c r="E61" s="610"/>
      <c r="F61" s="610"/>
      <c r="G61" s="610"/>
      <c r="H61" s="610"/>
      <c r="I61" s="610"/>
    </row>
    <row r="62" spans="1:15" ht="43.5" customHeight="1" x14ac:dyDescent="0.25">
      <c r="A62" s="610"/>
      <c r="B62" s="610"/>
      <c r="C62" s="610"/>
      <c r="D62" s="610"/>
      <c r="E62" s="610"/>
      <c r="F62" s="610"/>
      <c r="G62" s="610"/>
      <c r="H62" s="610"/>
      <c r="I62" s="610"/>
    </row>
    <row r="63" spans="1:15" ht="36" customHeight="1" x14ac:dyDescent="0.25">
      <c r="A63" s="610"/>
      <c r="B63" s="610"/>
      <c r="C63" s="610"/>
      <c r="D63" s="610"/>
      <c r="E63" s="610"/>
      <c r="F63" s="610"/>
      <c r="G63" s="610"/>
      <c r="H63" s="610"/>
      <c r="I63" s="610"/>
    </row>
    <row r="64" spans="1:15" ht="30" customHeight="1" x14ac:dyDescent="0.25">
      <c r="A64" s="610"/>
      <c r="B64" s="610"/>
      <c r="C64" s="610"/>
      <c r="D64" s="610"/>
      <c r="E64" s="610"/>
      <c r="F64" s="610"/>
      <c r="G64" s="610"/>
      <c r="H64" s="610"/>
      <c r="I64" s="610"/>
    </row>
    <row r="65" spans="1:15" ht="21" customHeight="1" x14ac:dyDescent="0.25">
      <c r="A65" s="610"/>
      <c r="B65" s="610"/>
      <c r="C65" s="610"/>
      <c r="D65" s="610"/>
      <c r="E65" s="610"/>
      <c r="F65" s="610"/>
      <c r="G65" s="610"/>
      <c r="H65" s="610"/>
      <c r="I65" s="610"/>
    </row>
    <row r="66" spans="1:15" ht="43.5" customHeight="1" x14ac:dyDescent="0.25">
      <c r="B66" s="581" t="s">
        <v>800</v>
      </c>
      <c r="C66" s="581"/>
      <c r="D66" s="581"/>
      <c r="E66" s="581"/>
    </row>
    <row r="68" spans="1:15" ht="20.25" x14ac:dyDescent="0.25">
      <c r="J68" s="619" t="s">
        <v>795</v>
      </c>
      <c r="K68" s="619"/>
      <c r="L68" s="619" t="s">
        <v>796</v>
      </c>
      <c r="M68" s="619"/>
    </row>
    <row r="69" spans="1:15" ht="42" customHeight="1" thickBot="1" x14ac:dyDescent="0.3">
      <c r="B69" s="608" t="s">
        <v>534</v>
      </c>
      <c r="C69" s="609"/>
      <c r="D69" s="609"/>
      <c r="E69" s="609"/>
      <c r="F69" s="609"/>
      <c r="G69" s="609"/>
      <c r="J69" s="617" t="s">
        <v>764</v>
      </c>
      <c r="K69" s="617"/>
      <c r="L69" s="617" t="s">
        <v>765</v>
      </c>
      <c r="M69" s="617"/>
    </row>
    <row r="70" spans="1:15" ht="84.75" customHeight="1" x14ac:dyDescent="0.25">
      <c r="B70" s="212" t="s">
        <v>510</v>
      </c>
      <c r="C70" s="213" t="s">
        <v>508</v>
      </c>
      <c r="D70" s="213" t="s">
        <v>509</v>
      </c>
      <c r="E70" s="214" t="s">
        <v>804</v>
      </c>
      <c r="F70" s="214" t="s">
        <v>523</v>
      </c>
      <c r="G70" s="215" t="s">
        <v>72</v>
      </c>
      <c r="H70" s="218" t="str">
        <f>I37</f>
        <v>Valor de la Incorrección o Imposibilidad
( Valores en pesos)</v>
      </c>
      <c r="I70" s="218" t="str">
        <f>J37</f>
        <v>Porcentaje (% ) de hallazgo o salvedad respecto a la cuenta presupuestal</v>
      </c>
      <c r="J70" s="218" t="s">
        <v>731</v>
      </c>
      <c r="K70" s="218" t="s">
        <v>732</v>
      </c>
      <c r="L70" s="218" t="s">
        <v>786</v>
      </c>
      <c r="M70" s="218" t="s">
        <v>785</v>
      </c>
      <c r="N70" s="218" t="s">
        <v>784</v>
      </c>
      <c r="O70" s="218" t="s">
        <v>783</v>
      </c>
    </row>
    <row r="71" spans="1:15" ht="28.5" x14ac:dyDescent="0.25">
      <c r="B71" s="207" t="s">
        <v>224</v>
      </c>
      <c r="C71" s="190" t="str">
        <f>IF(B71="","","EFICACIA")</f>
        <v>EFICACIA</v>
      </c>
      <c r="D71" s="191">
        <f>IF('MATERIALIDAD PRESUPUESTO'!$B$85="Sin Recaudo","",AVERAGE(K21,K31))</f>
        <v>0.8325797160738263</v>
      </c>
      <c r="E71" s="217" t="s">
        <v>476</v>
      </c>
      <c r="F71" s="191">
        <f>IF(OR(B71="",D71=""),"",IF(E71=LISTAS!$V$6,D71-LISTAS!$X$6,IF(E71=LISTAS!$V$7,D71-LISTAS!$X$7,IF(E71=LISTAS!$V$8,D71-LISTAS!$X$8,IF(E71=LISTAS!$V$9,D71-LISTAS!$X$9,IF(E71=LISTAS!$V$10,D71-LISTAS!$X$10,IF(E71=LISTAS!$V$11,D71-LISTAS!$X$11,IF(E71=LISTAS!$V$5,D71-LISTAS!$X$5,IF(E71=LISTAS!$V$4,D71-LISTAS!$X$4,D71)))))))))</f>
        <v>0.68257971607382628</v>
      </c>
      <c r="G71" s="190" t="str">
        <f>IF(D71="","",IF(F71&gt;=0.75,"EFICAZ","INEFICAZ"))</f>
        <v>INEFICAZ</v>
      </c>
      <c r="H71" s="278">
        <f>IF(OR(B71="",D71=""),"",SUMIF($D$38:$D$53,"*INGRESOS*",$I$38:$I$53))</f>
        <v>54544654</v>
      </c>
      <c r="I71" s="279">
        <f>IF(OR(H71&lt;=0,H71=""),"",SUMIF($D$38:$D$53,"*INGRESOS*",$J$38:$J$53))</f>
        <v>5.4544653999999996E-3</v>
      </c>
      <c r="J71" s="283">
        <f>IF(OR(I71&lt;=0,I71=""),"",SUMIF($C$38:$C$53,"*Incorrección*Ingresos*",$I$38:$I$53)/'MATERIALIDAD PRESUPUESTO'!$G$85)</f>
        <v>0.1976255579710145</v>
      </c>
      <c r="K71" s="224">
        <f>IF(OR(I71&lt;=0,I71=""),"",SUMIF($C$38:$C$53,"*Incorrección*Ingresos*",$J$38:$J$53)/'MATERIALIDAD PRESUPUESTO'!$F$85)</f>
        <v>0.23715066956521738</v>
      </c>
      <c r="L71" s="284">
        <f>IF(OR(I71&lt;=0,I71=""),"",SUMIF($C$38:$C$53,"*Imposibilidades*Ingresos*",$I$38:$I$53)/'MATERIALIDAD PRESUPUESTO'!$G$85)</f>
        <v>0</v>
      </c>
      <c r="M71" s="224">
        <f>IF(OR(I71&lt;=0,I71=""),"",SUMIF($C$38:$C$53,"*Imposibilidades*Ingresos*",$J$38:$J$53)/'MATERIALIDAD PRESUPUESTO'!$F$85)</f>
        <v>0</v>
      </c>
      <c r="N71" s="285">
        <f>IF(OR(I71&lt;=0,I71=""),"",H71/'MATERIALIDAD PRESUPUESTO'!$G$85)</f>
        <v>0.1976255579710145</v>
      </c>
      <c r="O71" s="277">
        <f>IF(OR(I71&lt;=0,I71=""),"",I71/'MATERIALIDAD PRESUPUESTO'!$F$85)</f>
        <v>0.23715066956521738</v>
      </c>
    </row>
    <row r="72" spans="1:15" ht="15" x14ac:dyDescent="0.25">
      <c r="B72" s="207" t="s">
        <v>223</v>
      </c>
      <c r="C72" s="190" t="str">
        <f t="shared" ref="C72:C78" si="2">IF(B72="","","EFICACIA")</f>
        <v>EFICACIA</v>
      </c>
      <c r="D72" s="191">
        <f>IF('MATERIALIDAD PRESUPUESTO'!$B$119="","",AVERAGE(K22:K23))</f>
        <v>0.8325797160738263</v>
      </c>
      <c r="E72" s="217" t="s">
        <v>472</v>
      </c>
      <c r="F72" s="191">
        <f>IF(OR(B72="",D72=""),"",IF(E72=LISTAS!$V$6,D72-LISTAS!$X$6,IF(E72=LISTAS!$V$7,D72-LISTAS!$X$7,IF(E72=LISTAS!$V$8,D72-LISTAS!$X$8,IF(E72=LISTAS!$V$9,D72-LISTAS!$X$9,IF(E72=LISTAS!$V$10,D72-LISTAS!$X$10,IF(E72=LISTAS!$V$11,D72-LISTAS!$X$11,IF(E72=LISTAS!$V$5,D72-LISTAS!$X$5,IF(E72=LISTAS!$V$4,D72-LISTAS!$X$4,D72)))))))))</f>
        <v>0.73257971607382633</v>
      </c>
      <c r="G72" s="190" t="str">
        <f>IF(D72="","",IF(F72&gt;=0.75,"EFICAZ","INEFICAZ"))</f>
        <v>INEFICAZ</v>
      </c>
      <c r="H72" s="278">
        <f>SUMIF($D$38:$D$53,"GASTOS",$I$38:$I$53)</f>
        <v>3123100</v>
      </c>
      <c r="I72" s="279">
        <f>SUMIF($D$38:$D$53,"GASTOS",$J$38:$J$53)</f>
        <v>3.1231E-4</v>
      </c>
      <c r="J72" s="283">
        <f>IF(OR(I72&lt;=0,I72=""),"",SUMIF($C$38:$C$53,"*Incorrección*Gastos*",$I$38:$I$53)/'MATERIALIDAD PRESUPUESTO'!G119)</f>
        <v>1.020954560313828E-3</v>
      </c>
      <c r="K72" s="224">
        <f>IF(OR(I72&lt;=0,I72=""),"",SUMIF($C$38:$C$53,"*Incorrección*Gastos*",$J$38:$J$53)/'MATERIALIDAD PRESUPUESTO'!F119)</f>
        <v>1.3578695652173914E-2</v>
      </c>
      <c r="L72" s="284">
        <f>IF(OR(I72&lt;=0,I72=""),"",SUMIF($C$38:$C$53,"*Imposibilidades*Gastos*",$I$38:$I$53)/'MATERIALIDAD PRESUPUESTO'!G119)</f>
        <v>0</v>
      </c>
      <c r="M72" s="224">
        <f>IF(OR(I72&lt;=0,I72=""),"",SUMIF($C$38:$C$53,"*Imposibilidades*Gastos*",$J$38:$J$53)/'MATERIALIDAD PRESUPUESTO'!F119)</f>
        <v>0</v>
      </c>
      <c r="N72" s="285">
        <f>IF(OR(I72&lt;=0,I72=""),"",H72/'MATERIALIDAD PRESUPUESTO'!$G$119)</f>
        <v>1.020954560313828E-3</v>
      </c>
      <c r="O72" s="277">
        <f>IF(OR(I72&lt;=0,I72=""),"",I72/'MATERIALIDAD PRESUPUESTO'!$F$119)</f>
        <v>1.3578695652173914E-2</v>
      </c>
    </row>
    <row r="73" spans="1:15" ht="15" x14ac:dyDescent="0.25">
      <c r="B73" s="207" t="s">
        <v>316</v>
      </c>
      <c r="C73" s="190" t="str">
        <f t="shared" si="2"/>
        <v>EFICACIA</v>
      </c>
      <c r="D73" s="191" t="str">
        <f>IF(OR('MATERIALIDAD PRESUPUESTO'!$D$158="",'MATERIALIDAD PRESUPUESTO'!$E$158=""),"",AVERAGE(K22:K23))</f>
        <v/>
      </c>
      <c r="E73" s="217" t="s">
        <v>471</v>
      </c>
      <c r="F73" s="191" t="str">
        <f>IF(OR(B73="",D73=""),"",IF(E73=LISTAS!$V$6,D73-LISTAS!$X$6,IF(E73=LISTAS!$V$7,D73-LISTAS!$X$7,IF(E73=LISTAS!$V$8,D73-LISTAS!$X$8,IF(E73=LISTAS!$V$9,D73-LISTAS!$X$9,IF(E73=LISTAS!$V$10,D73-LISTAS!$X$10,IF(E73=LISTAS!$V$11,D73-LISTAS!$X$11,IF(E73=LISTAS!$V$5,D73-LISTAS!$X$5,IF(E73=LISTAS!$V$4,D73-LISTAS!$X$4,D73)))))))))</f>
        <v/>
      </c>
      <c r="G73" s="190" t="str">
        <f>IF(D73="","",IF(F73&gt;=0.75,"EFICAZ","INEFICAZ"))</f>
        <v/>
      </c>
      <c r="H73" s="278" t="str">
        <f>IF(OR(B73="",D73=""),"",SUMIF($D$38:$D$53,"*GASTOS DE OPERACIÓN*",$I$38:$I$53))</f>
        <v/>
      </c>
      <c r="I73" s="279" t="str">
        <f>IF(OR(H73&lt;=0,H73=""),"",SUMIF($D$38:$D$53,"*GASTOS DE OPERACIÓN*",$J$38:$J$53))</f>
        <v/>
      </c>
      <c r="J73" s="283" t="str">
        <f>IF(OR(I73&lt;=0,I73=""),"",SUMIF($C$38:$C$53,"*Incorrección*Gastos*",$I$38:$I$53)/'MATERIALIDAD PRESUPUESTO'!G119)</f>
        <v/>
      </c>
      <c r="K73" s="224" t="str">
        <f>IF(OR(I73&lt;=0,I73=""),"",SUMIF($C$38:$C$53,"*Incorrección*Gastos*",$J$38:$J$53)/'MATERIALIDAD PRESUPUESTO'!F119)</f>
        <v/>
      </c>
      <c r="L73" s="284" t="str">
        <f>IF(OR(I73&lt;=0,I73=""),"",SUMIF($C$38:$C$53,"*Imposibilidades*Gastos*",$I$38:$I$53)/'MATERIALIDAD PRESUPUESTO'!G119)</f>
        <v/>
      </c>
      <c r="M73" s="224" t="str">
        <f>IF(OR(I73&lt;=0,I73=""),"",SUMIF($C$38:$C$53,"*Imposibilidades*Gastos*",$J$38:$J$53)/'MATERIALIDAD PRESUPUESTO'!F119)</f>
        <v/>
      </c>
      <c r="N73" s="285" t="str">
        <f>IF(OR(I73&lt;=0,I73=""),"",H73/'MATERIALIDAD PRESUPUESTO'!$G$119)</f>
        <v/>
      </c>
      <c r="O73" s="277" t="str">
        <f>IF(OR(I73&lt;=0,I73=""),"",I73/'MATERIALIDAD PRESUPUESTO'!$F$119)</f>
        <v/>
      </c>
    </row>
    <row r="74" spans="1:15" ht="28.5" x14ac:dyDescent="0.25">
      <c r="B74" s="207" t="s">
        <v>535</v>
      </c>
      <c r="C74" s="190" t="str">
        <f t="shared" si="2"/>
        <v>EFICACIA</v>
      </c>
      <c r="D74" s="191">
        <f>IF(OR('MATERIALIDAD PRESUPUESTO'!$D$161="",'MATERIALIDAD PRESUPUESTO'!$E$161=""),"",AVERAGE(K24,K27,K28))</f>
        <v>0.60222197445341819</v>
      </c>
      <c r="E74" s="217" t="s">
        <v>476</v>
      </c>
      <c r="F74" s="191">
        <f>IF(OR(B74="",D74=""),"",IF(E74=LISTAS!$V$6,D74-LISTAS!$X$6,IF(E74=LISTAS!$V$7,D74-LISTAS!$X$7,IF(E74=LISTAS!$V$8,D74-LISTAS!$X$8,IF(E74=LISTAS!$V$9,D74-LISTAS!$X$9,IF(E74=LISTAS!$V$10,D74-LISTAS!$X$10,IF(E74=LISTAS!$V$11,D74-LISTAS!$X$11,IF(E74=LISTAS!$V$5,D74-LISTAS!$X$5,IF(E74=LISTAS!$V$4,D74-LISTAS!$X$4,D74)))))))))</f>
        <v>0.45222197445341816</v>
      </c>
      <c r="G74" s="190" t="str">
        <f>IF(D74="","",IF(F74&gt;=0.75,"EFICAZ","INEFICAZ"))</f>
        <v>INEFICAZ</v>
      </c>
      <c r="H74" s="278">
        <f>IF(OR(B74="",D74=""),"",SUMIF($D$38:$D$53,"*RESERVAS*",$I$38:$I$53))</f>
        <v>459866</v>
      </c>
      <c r="I74" s="279">
        <f>IF(OR(H74&lt;=0,H74=""),"",SUMIF($D$38:$D$53,"*RESERVAS*",$J$38:$J$53))</f>
        <v>0.38264769512398067</v>
      </c>
      <c r="J74" s="283">
        <f>IF(OR(I74&lt;=0,I74=""),"",SUMIF($C$38:$C$53,"*Incorrección*Reservas*",$I$38:$I$53)/'MATERIALIDAD PRESUPUESTO'!G161)</f>
        <v>0.11759166666666666</v>
      </c>
      <c r="K74" s="224">
        <f>IF(OR(I74&lt;=0,I74=""),"",SUMIF($C$38:$C$53,"*Incorrección*Reservas*",$J$38:$J$53)/'MATERIALIDAD PRESUPUESTO'!F161)</f>
        <v>11.74155433516392</v>
      </c>
      <c r="L74" s="284">
        <f>IF(OR(I74&lt;=0,I74=""),"",SUMIF($C$38:$C$53,"*Imposibilidades*Reservas*",$I$38:$I$53)/'MATERIALIDAD PRESUPUESTO'!G161)</f>
        <v>4.9026449275362316E-2</v>
      </c>
      <c r="M74" s="224">
        <f>IF(OR(I74&lt;=0,I74=""),"",SUMIF($C$38:$C$53,"*Imposibilidades*Reservas*",$J$38:$J$53)/'MATERIALIDAD PRESUPUESTO'!F161)</f>
        <v>4.8953019745743704</v>
      </c>
      <c r="N74" s="285">
        <f>IF(OR(I74&lt;=0,I74=""),"",H74/'MATERIALIDAD PRESUPUESTO'!$G$161)</f>
        <v>0.16661811594202899</v>
      </c>
      <c r="O74" s="277">
        <f>IF(OR(I74&lt;=0,I74=""),"",I74/'MATERIALIDAD PRESUPUESTO'!$F$161)</f>
        <v>16.636856309738292</v>
      </c>
    </row>
    <row r="75" spans="1:15" ht="15" x14ac:dyDescent="0.25">
      <c r="B75" s="207" t="s">
        <v>536</v>
      </c>
      <c r="C75" s="190" t="str">
        <f t="shared" si="2"/>
        <v>EFICACIA</v>
      </c>
      <c r="D75" s="191" t="str">
        <f>IF(OR('MATERIALIDAD PRESUPUESTO'!$D$163="",'MATERIALIDAD PRESUPUESTO'!$E$163=""),"",AVERAGE(K24))</f>
        <v/>
      </c>
      <c r="E75" s="217" t="s">
        <v>522</v>
      </c>
      <c r="F75" s="191" t="str">
        <f>IF(OR(B75="",D75=""),"",IF(E75=LISTAS!$V$6,D75-LISTAS!$X$6,IF(E75=LISTAS!$V$7,D75-LISTAS!$X$7,IF(E75=LISTAS!$V$8,D75-LISTAS!$X$8,IF(E75=LISTAS!$V$9,D75-LISTAS!$X$9,IF(E75=LISTAS!$V$10,D75-LISTAS!$X$10,IF(E75=LISTAS!$V$11,D75-LISTAS!$X$11,IF(E75=LISTAS!$V$5,D75-LISTAS!$X$5,IF(E75=LISTAS!$V$4,D75-LISTAS!$X$4,D75)))))))))</f>
        <v/>
      </c>
      <c r="G75" s="190" t="str">
        <f>IF(D75="","",IF(F75&gt;=0.75,"EFICAZ","INEFICAZ"))</f>
        <v/>
      </c>
      <c r="H75" s="278" t="str">
        <f>IF(OR(B75="",D75=""),"",SUMIF($D$38:$D$53,"*OBLIGACIONES*",$I$38:$I$53))</f>
        <v/>
      </c>
      <c r="I75" s="279" t="str">
        <f>IF(OR(H75&lt;=0,H75=""),"",SUMIF($D$38:$D$53,"*OBLIGACIONES*",$J$38:$J$53))</f>
        <v/>
      </c>
      <c r="J75" s="283" t="str">
        <f>IF(OR(I75&lt;=0,I75=""),"",SUMIF($C$38:$C$53,"*Incorrección*Obligaciones*",$I$38:$I$53)/'MATERIALIDAD PRESUPUESTO'!G163)</f>
        <v/>
      </c>
      <c r="K75" s="224" t="str">
        <f>IF(OR(I75&lt;=0,I75=""),"",SUMIF($C$38:$C$53,"*Incorrección*Obligaciones*",$J$38:$J$53)/'MATERIALIDAD PRESUPUESTO'!F163)</f>
        <v/>
      </c>
      <c r="L75" s="284" t="str">
        <f>IF(OR(I75&lt;=0,I75=""),"",SUMIF($C$38:$C$53,"*Imposibilidades*Obligaciones*",$I$38:$I$53)/'MATERIALIDAD PRESUPUESTO'!G163)</f>
        <v/>
      </c>
      <c r="M75" s="224" t="str">
        <f>IF(OR(I75&lt;=0,I75=""),"",SUMIF($C$38:$C$53,"*Imposibilidades*Obligaciones*",$J$38:$J$53)/'MATERIALIDAD PRESUPUESTO'!F163)</f>
        <v/>
      </c>
      <c r="N75" s="285" t="str">
        <f>IF(OR(I75&lt;=0,I75=""),"",H75/'MATERIALIDAD PRESUPUESTO'!$G$163)</f>
        <v/>
      </c>
      <c r="O75" s="277" t="str">
        <f>IF(OR(I75&lt;=0,I75=""),"",I75/'MATERIALIDAD PRESUPUESTO'!$F$163)</f>
        <v/>
      </c>
    </row>
    <row r="76" spans="1:15" ht="15" x14ac:dyDescent="0.25">
      <c r="B76" s="207" t="s">
        <v>537</v>
      </c>
      <c r="C76" s="190" t="str">
        <f t="shared" si="2"/>
        <v>EFICACIA</v>
      </c>
      <c r="D76" s="191" t="str">
        <f>IF(OR('MATERIALIDAD PRESUPUESTO'!$D$163="",'MATERIALIDAD PRESUPUESTO'!$E$163=""),"",AVERAGE(K24))</f>
        <v/>
      </c>
      <c r="E76" s="217" t="s">
        <v>471</v>
      </c>
      <c r="F76" s="191" t="str">
        <f>IF(OR(B76="",D76=""),"",IF(E76=LISTAS!$V$6,D76-LISTAS!$X$6,IF(E76=LISTAS!$V$7,D76-LISTAS!$X$7,IF(E76=LISTAS!$V$8,D76-LISTAS!$X$8,IF(E76=LISTAS!$V$9,D76-LISTAS!$X$9,IF(E76=LISTAS!$V$10,D76-LISTAS!$X$10,IF(E76=LISTAS!$V$11,D76-LISTAS!$X$11,IF(E76=LISTAS!$V$5,D76-LISTAS!$X$5,IF(E76=LISTAS!$V$4,D76-LISTAS!$X$4,D76)))))))))</f>
        <v/>
      </c>
      <c r="G76" s="190" t="str">
        <f t="shared" ref="G76:G78" si="3">IF(D76="","",IF(F76&gt;=0.75,"EFICAZ","INEFICAZ"))</f>
        <v/>
      </c>
      <c r="H76" s="278" t="str">
        <f>IF(OR(B76="",D76=""),"",SUMIF($D$38:$D$53,"*CUENTAS POR PAGAR*",$I$38:$I$53))</f>
        <v/>
      </c>
      <c r="I76" s="279" t="str">
        <f>IF(OR(H76&lt;=0,H76=""),"",SUMIF($D$38:$D$53,"*CUENTAS POR PAGAR*",$J$38:$J$53))</f>
        <v/>
      </c>
      <c r="J76" s="283" t="str">
        <f>IF(OR(I76&lt;=0,I76=""),"",SUMIF($C$38:$C$53,"*Incorrección*Cuentas por Pagar*",$I$38:$I$53)/'MATERIALIDAD PRESUPUESTO'!G163)</f>
        <v/>
      </c>
      <c r="K76" s="224" t="str">
        <f>IF(OR(I76&lt;=0,I76=""),"",SUMIF($C$38:$C$53,"*Incorrección*Cuentas por Pagar*",$J$38:$J$53)/'MATERIALIDAD PRESUPUESTO'!F163)</f>
        <v/>
      </c>
      <c r="L76" s="284" t="str">
        <f>IF(OR(I76&lt;=0,I76=""),"",SUMIF($C$38:$C$53,"*Imposibilidades*Cuentas por Pagar*",$I$38:$I$53)/'MATERIALIDAD PRESUPUESTO'!G163)</f>
        <v/>
      </c>
      <c r="M76" s="224" t="str">
        <f>IF(OR(I76&lt;=0,I76=""),"",SUMIF($C$38:$C$53,"*Imposibilidades*Cuentas por Pagar*",$J$38:$J$53)/'MATERIALIDAD PRESUPUESTO'!F163)</f>
        <v/>
      </c>
      <c r="N76" s="285" t="str">
        <f>IF(OR(I76&lt;=0,I76=""),"",H76/'MATERIALIDAD PRESUPUESTO'!$G$163)</f>
        <v/>
      </c>
      <c r="O76" s="277" t="str">
        <f>IF(OR(I76&lt;=0,I76=""),"",I76/'MATERIALIDAD PRESUPUESTO'!$F$163)</f>
        <v/>
      </c>
    </row>
    <row r="77" spans="1:15" ht="15" x14ac:dyDescent="0.25">
      <c r="B77" s="207" t="s">
        <v>513</v>
      </c>
      <c r="C77" s="190" t="str">
        <f t="shared" si="2"/>
        <v>EFICACIA</v>
      </c>
      <c r="D77" s="191">
        <f>IF(OR('MATERIALIDAD PRESUPUESTO'!$D$164="",'MATERIALIDAD PRESUPUESTO'!$E$164=""),"",K29)</f>
        <v>0.8325797160738263</v>
      </c>
      <c r="E77" s="217" t="s">
        <v>522</v>
      </c>
      <c r="F77" s="191">
        <f>IF(OR(B77="",D77=""),"",IF(E77=LISTAS!$V$6,D77-LISTAS!$X$6,IF(E77=LISTAS!$V$7,D77-LISTAS!$X$7,IF(E77=LISTAS!$V$8,D77-LISTAS!$X$8,IF(E77=LISTAS!$V$9,D77-LISTAS!$X$9,IF(E77=LISTAS!$V$10,D77-LISTAS!$X$10,IF(E77=LISTAS!$V$11,D77-LISTAS!$X$11,IF(E77=LISTAS!$V$5,D77-LISTAS!$X$5,IF(E77=LISTAS!$V$4,D77-LISTAS!$X$4,D77)))))))))</f>
        <v>0.8325797160738263</v>
      </c>
      <c r="G77" s="190" t="str">
        <f t="shared" si="3"/>
        <v>EFICAZ</v>
      </c>
      <c r="H77" s="278">
        <f>IF(OR(B77="",D77=""),"",SUMIF($D$38:$D$53,"*PASIVOS EXIGIBLES*",$I$38:$I$53))</f>
        <v>1000000</v>
      </c>
      <c r="I77" s="279">
        <f>IF(OR(H77&lt;=0,H77=""),"",SUMIF($D$38:$D$53,"*PASIVOS EXIGIBLES*",$J$38:$J$53))</f>
        <v>0.83208520552504572</v>
      </c>
      <c r="J77" s="283">
        <f>IF(OR(I77&lt;=0,I77=""),"",SUMIF($C$38:$C$53,"*Incorrección*Pasivos*",$I$38:$I$53)/'MATERIALIDAD PRESUPUESTO'!G164)</f>
        <v>0.36231884057971014</v>
      </c>
      <c r="K77" s="224">
        <f>IF(OR(I77&lt;=0,I77=""),"",SUMIF($C$38:$C$53,"*Incorrección*Pasivos*",$J$38:$J$53)/'MATERIALIDAD PRESUPUESTO'!F164)</f>
        <v>36.177617631523731</v>
      </c>
      <c r="L77" s="284">
        <f>IF(OR(I77&lt;=0,I77=""),"",SUMIF($C$38:$C$53,"*Imposibilidades*Pasivos*",$I$38:$I$53)/'MATERIALIDAD PRESUPUESTO'!G164)</f>
        <v>0</v>
      </c>
      <c r="M77" s="224">
        <f>IF(OR(I77&lt;=0,I77=""),"",SUMIF($C$38:$C$53,"*Imposibilidades*Pasivos*",$J$38:$J$53)/'MATERIALIDAD PRESUPUESTO'!F164)</f>
        <v>0</v>
      </c>
      <c r="N77" s="285">
        <f>IF(OR(I77&lt;=0,I77=""),"",H77/'MATERIALIDAD PRESUPUESTO'!$G$164)</f>
        <v>0.36231884057971014</v>
      </c>
      <c r="O77" s="277">
        <f>IF(OR(I77&lt;=0,I77=""),"",I77/'MATERIALIDAD PRESUPUESTO'!$F$164)</f>
        <v>36.177617631523731</v>
      </c>
    </row>
    <row r="78" spans="1:15" ht="15" x14ac:dyDescent="0.25">
      <c r="B78" s="207" t="s">
        <v>317</v>
      </c>
      <c r="C78" s="190" t="str">
        <f t="shared" si="2"/>
        <v>EFICACIA</v>
      </c>
      <c r="D78" s="191" t="str">
        <f>IF(OR('MATERIALIDAD PRESUPUESTO'!$D$165="",'MATERIALIDAD PRESUPUESTO'!$E$165=""),"",AVERAGE(K25,K26))</f>
        <v/>
      </c>
      <c r="E78" s="217"/>
      <c r="F78" s="191" t="str">
        <f>IF(OR(B78="",D78=""),"",IF(E78=LISTAS!$V$6,D78-LISTAS!$X$6,IF(E78=LISTAS!$V$7,D78-LISTAS!$X$7,IF(E78=LISTAS!$V$8,D78-LISTAS!$X$8,IF(E78=LISTAS!$V$9,D78-LISTAS!$X$9,IF(E78=LISTAS!$V$10,D78-LISTAS!$X$10,IF(E78=LISTAS!$V$11,D78-LISTAS!$X$11,IF(E78=LISTAS!$V$5,D78-LISTAS!$X$5,IF(E78=LISTAS!$V$4,D78-LISTAS!$X$4,D78)))))))))</f>
        <v/>
      </c>
      <c r="G78" s="190" t="str">
        <f t="shared" si="3"/>
        <v/>
      </c>
      <c r="H78" s="278" t="str">
        <f>IF(OR(B78="",D78=""),"",SUMIF($D$38:$D$53,"*VIGENCIAS FUTURAS*",$I$38:$I$53))</f>
        <v/>
      </c>
      <c r="I78" s="279" t="str">
        <f>IF(OR(H78&lt;=0,H78=""),"",SUMIF($D$38:$D$53,"*VIGENCIAS FUTURAS*",$J$38:$J$53))</f>
        <v/>
      </c>
      <c r="J78" s="283" t="str">
        <f>IF(OR(I78&lt;=0,I78=""),"",SUMIF($C$38:$C$53,"*Incorrección*Vigencias*",$I$38:$I$53)/'MATERIALIDAD PRESUPUESTO'!G165)</f>
        <v/>
      </c>
      <c r="K78" s="224" t="str">
        <f>IF(OR(I78&lt;=0,I78=""),"",SUMIF($C$38:$C$53,"*Incorrección*Vigencias*",$J$38:$J$53)/'MATERIALIDAD PRESUPUESTO'!F165)</f>
        <v/>
      </c>
      <c r="L78" s="284" t="str">
        <f>IF(OR(I78&lt;=0,I78=""),"",SUMIF($C$38:$C$53,"*Imposibilidades*Vigencias*",$I$38:$I$53)/'MATERIALIDAD PRESUPUESTO'!G165)</f>
        <v/>
      </c>
      <c r="M78" s="224" t="str">
        <f>IF(OR(I78&lt;=0,I78=""),"",SUMIF($C$38:$C$53,"*Imposibilidades*Vigencias*",$J$38:$J$53)/'MATERIALIDAD PRESUPUESTO'!F165)</f>
        <v/>
      </c>
      <c r="N78" s="285" t="str">
        <f>IF(OR(I78&lt;=0,I78=""),"",H78/'MATERIALIDAD PRESUPUESTO'!$G$165)</f>
        <v/>
      </c>
      <c r="O78" s="277" t="str">
        <f>IF(OR(I78&lt;=0,I78=""),"",I78/'MATERIALIDAD PRESUPUESTO'!$F$165)</f>
        <v/>
      </c>
    </row>
    <row r="79" spans="1:15" ht="15.75" x14ac:dyDescent="0.25">
      <c r="B79" s="607" t="s">
        <v>520</v>
      </c>
      <c r="C79" s="607"/>
      <c r="D79" s="415">
        <f>AVERAGE(D71:D78)</f>
        <v>0.77499028066872433</v>
      </c>
      <c r="E79" s="209"/>
      <c r="F79" s="416">
        <f>IF($K$30&gt;0,AVERAGE(AVERAGE(F71:F78),$K$30),AVERAGE(F71:F78))</f>
        <v>0.66811776639443454</v>
      </c>
      <c r="G79" s="216" t="str">
        <f t="shared" ref="G79" si="4">IF(F79&gt;=0.75,"EFICAZ","INEFICAZ")</f>
        <v>INEFICAZ</v>
      </c>
    </row>
    <row r="81" spans="2:9" ht="43.5" customHeight="1" x14ac:dyDescent="0.25">
      <c r="B81" s="581" t="s">
        <v>805</v>
      </c>
      <c r="C81" s="581"/>
      <c r="D81" s="581"/>
      <c r="E81" s="581"/>
    </row>
    <row r="85" spans="2:9" ht="33.75" customHeight="1" x14ac:dyDescent="0.25">
      <c r="B85" s="61"/>
      <c r="C85" s="289" t="s">
        <v>782</v>
      </c>
      <c r="D85" s="289" t="s">
        <v>733</v>
      </c>
      <c r="E85" s="290" t="s">
        <v>734</v>
      </c>
    </row>
    <row r="86" spans="2:9" ht="45" x14ac:dyDescent="0.25">
      <c r="B86" s="286" t="s">
        <v>735</v>
      </c>
      <c r="C86" s="281">
        <f>IF(O71&gt;O72,N71,N72)</f>
        <v>0.1976255579710145</v>
      </c>
      <c r="D86" s="282">
        <f>O71</f>
        <v>0.23715066956521738</v>
      </c>
      <c r="E86" s="282">
        <f>SUM(O72,O73:O78)</f>
        <v>52.828052636914194</v>
      </c>
    </row>
    <row r="87" spans="2:9" ht="30" x14ac:dyDescent="0.25">
      <c r="B87" s="286" t="s">
        <v>787</v>
      </c>
      <c r="C87" s="280" t="str">
        <f>IF(C86&lt;1,"SI","NO")</f>
        <v>SI</v>
      </c>
      <c r="D87" s="280" t="str">
        <f>IF(D86&lt;1,"SI","NO")</f>
        <v>SI</v>
      </c>
      <c r="E87" s="280" t="str">
        <f>IF(E86&lt;1,"SI","NO")</f>
        <v>NO</v>
      </c>
    </row>
    <row r="88" spans="2:9" ht="30" x14ac:dyDescent="0.25">
      <c r="B88" s="287" t="s">
        <v>788</v>
      </c>
      <c r="C88" s="280" t="str">
        <f>IF(C86="","",IF(AND(C86&gt;=1,C86&lt;5),"SI","NO"))</f>
        <v>NO</v>
      </c>
      <c r="D88" s="280" t="str">
        <f>IF(D86="","",IF(AND(D86&gt;=1,D86&lt;5),"SI","NO"))</f>
        <v>NO</v>
      </c>
      <c r="E88" s="280" t="str">
        <f>IF(E86="","",IF(AND(E86&gt;=1,E86&lt;5),"SI","NO"))</f>
        <v>NO</v>
      </c>
    </row>
    <row r="89" spans="2:9" ht="36" customHeight="1" x14ac:dyDescent="0.25">
      <c r="B89" s="287" t="s">
        <v>789</v>
      </c>
      <c r="C89" s="280" t="str">
        <f>IF(C86&gt;=5,"SI","NO")</f>
        <v>NO</v>
      </c>
      <c r="D89" s="280" t="str">
        <f>IF(D86&gt;=5,"SI","NO")</f>
        <v>NO</v>
      </c>
      <c r="E89" s="280" t="str">
        <f>IF(E86&gt;=5,"SI","NO")</f>
        <v>SI</v>
      </c>
    </row>
    <row r="90" spans="2:9" ht="45" x14ac:dyDescent="0.25">
      <c r="B90" s="287" t="s">
        <v>739</v>
      </c>
      <c r="C90" s="288" t="str">
        <f>IF(C86=N71,IF(L71&gt;=J71,"PREDOMINA IMPOSIBILIDADES","PREDOMINA INCORRECCIONES"),IF(C86=SUM(N72,N73:N78),IF(SUM(L72,L73:L78)&gt;=SUM(J72,J73:J78),"PREDOMINA IMPOSIBILIDADES","PREDOMINA INCORRECCIONES"),""))</f>
        <v>PREDOMINA INCORRECCIONES</v>
      </c>
      <c r="D90" s="288" t="str">
        <f>IF(D86=O71,IF(M71&gt;=K71,"PREDOMINA IMPOSIBILIDADES","PREDOMINA INCORRECCIONES"),"")</f>
        <v>PREDOMINA INCORRECCIONES</v>
      </c>
      <c r="E90" s="288" t="str">
        <f>IF(E86=SUM(O72,O73:O78),IF(SUM(M72,M73:M78)&gt;=SUM(K72,K73:K78),"PREDOMINA IMPOSIBILIDADES","PREDOMINA INCORRECCIONES"),"")</f>
        <v>PREDOMINA INCORRECCIONES</v>
      </c>
    </row>
    <row r="92" spans="2:9" ht="15" x14ac:dyDescent="0.25">
      <c r="B92" s="417" t="s">
        <v>419</v>
      </c>
    </row>
    <row r="96" spans="2:9" x14ac:dyDescent="0.25">
      <c r="B96" s="61"/>
      <c r="C96" s="61"/>
      <c r="D96" s="382"/>
      <c r="E96" s="382"/>
      <c r="F96" s="403"/>
      <c r="G96" s="404"/>
      <c r="H96" s="403"/>
      <c r="I96" s="61"/>
    </row>
    <row r="97" spans="2:17" ht="15" x14ac:dyDescent="0.25">
      <c r="B97" s="66"/>
      <c r="C97" s="63"/>
      <c r="D97" s="63"/>
      <c r="E97" s="67"/>
      <c r="F97" s="63"/>
      <c r="G97" s="63"/>
      <c r="H97" s="139"/>
      <c r="N97" s="405"/>
      <c r="Q97" s="67"/>
    </row>
    <row r="98" spans="2:17" ht="39.75" customHeight="1" x14ac:dyDescent="0.25">
      <c r="B98" s="61"/>
      <c r="C98" s="63"/>
      <c r="D98" s="63"/>
      <c r="E98" s="63"/>
      <c r="F98" s="63"/>
      <c r="G98" s="63"/>
      <c r="H98" s="139"/>
      <c r="N98" s="405"/>
      <c r="Q98" s="67"/>
    </row>
    <row r="99" spans="2:17" ht="15.75" thickBot="1" x14ac:dyDescent="0.3">
      <c r="B99" s="61"/>
      <c r="C99" s="63"/>
      <c r="D99" s="63"/>
      <c r="E99" s="63"/>
      <c r="F99" s="63"/>
      <c r="G99" s="63"/>
      <c r="H99" s="139"/>
      <c r="I99" s="406"/>
      <c r="N99" s="405"/>
      <c r="Q99" s="67"/>
    </row>
    <row r="100" spans="2:17" ht="39" customHeight="1" thickBot="1" x14ac:dyDescent="0.3">
      <c r="B100" s="620" t="s">
        <v>736</v>
      </c>
      <c r="C100" s="621"/>
      <c r="D100" s="314" t="str">
        <f>IF(D87="SI","LIMPIO O SIN SALVEDADES",IF(D88="SI","CON SALVEDADES",IF(AND(D89="SI",D90="PREDOMINA INCORRECCIONES"),"NEGATIVA",IF(AND(D89="SI",D90="PREDOMINA IMPOSIBILIDADES"),"ABSTENCIÓN",""))))</f>
        <v>LIMPIO O SIN SALVEDADES</v>
      </c>
      <c r="E100" s="317">
        <f>VLOOKUP(D100,ConceptoPresupuesto23[],2,FALSE)</f>
        <v>1</v>
      </c>
      <c r="F100" s="315" t="s">
        <v>737</v>
      </c>
      <c r="G100" s="314" t="str">
        <f>IF(C87="SI","LIMPIO O SIN SALVEDADES",IF(C88="SI","CON SALVEDADES",IF(AND(C89="SI",C90="PREDOMINA INCORRECCIONES"),"NEGATIVA",IF(AND(C89="SI",C90="PREDOMINA IMPOSIBILIDADES"),"ABSTENCIÓN",""))))</f>
        <v>LIMPIO O SIN SALVEDADES</v>
      </c>
      <c r="H100" s="407"/>
      <c r="I100" s="139"/>
      <c r="N100" s="405"/>
      <c r="Q100" s="67"/>
    </row>
    <row r="101" spans="2:17" ht="39" customHeight="1" thickBot="1" x14ac:dyDescent="0.3">
      <c r="B101" s="622" t="s">
        <v>763</v>
      </c>
      <c r="C101" s="623"/>
      <c r="D101" s="314" t="str">
        <f>IF(E87="SI","LIMPIO O SIN SALVEDADES",IF(E88="SI","CON SALVEDADES",IF(AND(E89="SI",E90="PREDOMINA INCORRECCIONES"),"NEGATIVA",IF(AND(E89="SI",E90="PREDOMINA IMPOSIBILIDADES"),"ABSTENCIÓN",""))))</f>
        <v>NEGATIVA</v>
      </c>
      <c r="E101" s="318">
        <f>VLOOKUP(D101,ConceptoPresupuesto23[],2,FALSE)</f>
        <v>0</v>
      </c>
      <c r="F101" s="316" t="s">
        <v>738</v>
      </c>
      <c r="G101" s="319">
        <f>VLOOKUP(G100,ConceptoPresupuesto23[],2,FALSE)</f>
        <v>1</v>
      </c>
      <c r="I101" s="139"/>
      <c r="N101" s="405"/>
      <c r="Q101" s="134"/>
    </row>
    <row r="102" spans="2:17" ht="15" x14ac:dyDescent="0.25">
      <c r="B102" s="61"/>
      <c r="C102" s="61"/>
      <c r="D102" s="61"/>
      <c r="E102" s="61"/>
      <c r="F102" s="61"/>
      <c r="G102" s="61"/>
      <c r="H102" s="365"/>
      <c r="I102" s="365"/>
      <c r="J102" s="365"/>
      <c r="K102" s="365"/>
      <c r="L102" s="61"/>
      <c r="M102" s="61"/>
      <c r="N102" s="61"/>
    </row>
    <row r="103" spans="2:17" ht="27" customHeight="1" x14ac:dyDescent="0.25">
      <c r="B103" s="624" t="s">
        <v>742</v>
      </c>
      <c r="C103" s="625"/>
      <c r="D103" s="625"/>
      <c r="E103" s="625"/>
      <c r="F103" s="625"/>
      <c r="G103" s="626"/>
    </row>
    <row r="104" spans="2:17" ht="45.75" thickBot="1" x14ac:dyDescent="0.3">
      <c r="B104" s="273" t="s">
        <v>744</v>
      </c>
      <c r="C104" s="273" t="s">
        <v>745</v>
      </c>
      <c r="D104" s="273" t="s">
        <v>746</v>
      </c>
      <c r="E104" s="273" t="s">
        <v>747</v>
      </c>
      <c r="F104" s="273" t="s">
        <v>748</v>
      </c>
      <c r="G104" s="273" t="s">
        <v>749</v>
      </c>
    </row>
    <row r="105" spans="2:17" ht="99.75" customHeight="1" thickBot="1" x14ac:dyDescent="0.3">
      <c r="B105" s="270" t="s">
        <v>39</v>
      </c>
      <c r="C105" s="270" t="s">
        <v>751</v>
      </c>
      <c r="D105" s="270" t="s">
        <v>752</v>
      </c>
      <c r="E105" s="270" t="s">
        <v>753</v>
      </c>
      <c r="F105" s="271">
        <v>100</v>
      </c>
      <c r="G105" s="271" t="s">
        <v>524</v>
      </c>
    </row>
    <row r="106" spans="2:17" ht="96.75" customHeight="1" thickBot="1" x14ac:dyDescent="0.3">
      <c r="B106" s="270" t="s">
        <v>741</v>
      </c>
      <c r="C106" s="270" t="s">
        <v>755</v>
      </c>
      <c r="D106" s="270" t="s">
        <v>756</v>
      </c>
      <c r="E106" s="270" t="s">
        <v>757</v>
      </c>
      <c r="F106" s="271">
        <v>75</v>
      </c>
      <c r="G106" s="271" t="s">
        <v>524</v>
      </c>
    </row>
    <row r="107" spans="2:17" ht="87" thickBot="1" x14ac:dyDescent="0.3">
      <c r="B107" s="270" t="s">
        <v>750</v>
      </c>
      <c r="C107" s="272" t="s">
        <v>758</v>
      </c>
      <c r="D107" s="272" t="s">
        <v>758</v>
      </c>
      <c r="E107" s="272" t="s">
        <v>759</v>
      </c>
      <c r="F107" s="271">
        <v>0</v>
      </c>
      <c r="G107" s="271" t="s">
        <v>525</v>
      </c>
    </row>
    <row r="108" spans="2:17" ht="126" customHeight="1" thickBot="1" x14ac:dyDescent="0.3">
      <c r="B108" s="270" t="s">
        <v>760</v>
      </c>
      <c r="C108" s="271"/>
      <c r="D108" s="272" t="s">
        <v>761</v>
      </c>
      <c r="E108" s="272" t="s">
        <v>762</v>
      </c>
      <c r="F108" s="271">
        <v>0</v>
      </c>
      <c r="G108" s="271" t="s">
        <v>525</v>
      </c>
    </row>
    <row r="110" spans="2:17" ht="15" thickBot="1" x14ac:dyDescent="0.3"/>
    <row r="111" spans="2:17" x14ac:dyDescent="0.25">
      <c r="B111" s="455" t="s">
        <v>318</v>
      </c>
      <c r="C111" s="457"/>
      <c r="D111" s="457"/>
      <c r="E111" s="458"/>
    </row>
    <row r="112" spans="2:17" ht="89.25" customHeight="1" thickBot="1" x14ac:dyDescent="0.3">
      <c r="B112" s="456"/>
      <c r="C112" s="459"/>
      <c r="D112" s="459"/>
      <c r="E112" s="460"/>
    </row>
    <row r="113" spans="2:4" ht="15" thickBot="1" x14ac:dyDescent="0.3">
      <c r="C113" s="67" t="s">
        <v>325</v>
      </c>
      <c r="D113" s="67" t="s">
        <v>326</v>
      </c>
    </row>
    <row r="114" spans="2:4" ht="47.25" customHeight="1" x14ac:dyDescent="0.25">
      <c r="B114" s="461" t="s">
        <v>319</v>
      </c>
      <c r="C114" s="68"/>
      <c r="D114" s="69"/>
    </row>
    <row r="115" spans="2:4" ht="51" customHeight="1" x14ac:dyDescent="0.25">
      <c r="B115" s="462"/>
      <c r="C115" s="71"/>
      <c r="D115" s="72"/>
    </row>
    <row r="116" spans="2:4" ht="65.25" customHeight="1" thickBot="1" x14ac:dyDescent="0.3">
      <c r="B116" s="462"/>
      <c r="C116" s="73"/>
      <c r="D116" s="74"/>
    </row>
    <row r="117" spans="2:4" ht="38.25" customHeight="1" x14ac:dyDescent="0.25">
      <c r="B117" s="450" t="s">
        <v>404</v>
      </c>
      <c r="C117" s="82"/>
      <c r="D117" s="69"/>
    </row>
    <row r="118" spans="2:4" ht="30.75" customHeight="1" x14ac:dyDescent="0.25">
      <c r="B118" s="451"/>
      <c r="C118" s="83"/>
      <c r="D118" s="72"/>
    </row>
    <row r="119" spans="2:4" ht="45" customHeight="1" thickBot="1" x14ac:dyDescent="0.3">
      <c r="B119" s="452"/>
      <c r="C119" s="84"/>
      <c r="D119" s="81"/>
    </row>
    <row r="120" spans="2:4" ht="49.5" customHeight="1" thickBot="1" x14ac:dyDescent="0.3">
      <c r="B120" s="80" t="s">
        <v>327</v>
      </c>
      <c r="C120" s="357"/>
      <c r="D120" s="358"/>
    </row>
    <row r="121" spans="2:4" ht="56.25" customHeight="1" thickBot="1" x14ac:dyDescent="0.3">
      <c r="B121" s="75" t="s">
        <v>320</v>
      </c>
      <c r="C121" s="76"/>
      <c r="D121" s="77"/>
    </row>
  </sheetData>
  <protectedRanges>
    <protectedRange sqref="C34 C21:C28" name="Rango6_1"/>
    <protectedRange sqref="C29 D34 E23:F28" name="Rango4_1"/>
    <protectedRange sqref="E34:F34 E29:F29 E21:F22" name="Rango3_1"/>
    <protectedRange sqref="K21:K35" name="Rango2_1"/>
    <protectedRange sqref="D21:D31" name="Rango4"/>
  </protectedRanges>
  <mergeCells count="67">
    <mergeCell ref="B111:B112"/>
    <mergeCell ref="C111:E112"/>
    <mergeCell ref="B114:B116"/>
    <mergeCell ref="B117:B119"/>
    <mergeCell ref="B100:C100"/>
    <mergeCell ref="B101:C101"/>
    <mergeCell ref="B103:G103"/>
    <mergeCell ref="L69:M69"/>
    <mergeCell ref="A35:N35"/>
    <mergeCell ref="E38:F38"/>
    <mergeCell ref="E39:F39"/>
    <mergeCell ref="E40:F40"/>
    <mergeCell ref="E46:F46"/>
    <mergeCell ref="E47:F47"/>
    <mergeCell ref="E48:F48"/>
    <mergeCell ref="E49:F49"/>
    <mergeCell ref="E50:F50"/>
    <mergeCell ref="J68:K68"/>
    <mergeCell ref="L68:M68"/>
    <mergeCell ref="J19:J20"/>
    <mergeCell ref="I27:I28"/>
    <mergeCell ref="B79:C79"/>
    <mergeCell ref="B81:E81"/>
    <mergeCell ref="B69:G69"/>
    <mergeCell ref="A57:I65"/>
    <mergeCell ref="A54:G54"/>
    <mergeCell ref="H21:H30"/>
    <mergeCell ref="E37:F37"/>
    <mergeCell ref="E41:F41"/>
    <mergeCell ref="E42:F42"/>
    <mergeCell ref="E43:F43"/>
    <mergeCell ref="E44:F44"/>
    <mergeCell ref="E45:F45"/>
    <mergeCell ref="E51:F51"/>
    <mergeCell ref="J69:K69"/>
    <mergeCell ref="A1:I1"/>
    <mergeCell ref="A5:H5"/>
    <mergeCell ref="A6:H6"/>
    <mergeCell ref="K19:K20"/>
    <mergeCell ref="J21:J30"/>
    <mergeCell ref="A11:B11"/>
    <mergeCell ref="C8:D8"/>
    <mergeCell ref="C9:D9"/>
    <mergeCell ref="C10:D10"/>
    <mergeCell ref="C11:D11"/>
    <mergeCell ref="A8:B8"/>
    <mergeCell ref="A9:B9"/>
    <mergeCell ref="A10:B10"/>
    <mergeCell ref="A17:L17"/>
    <mergeCell ref="A19:A20"/>
    <mergeCell ref="G11:H11"/>
    <mergeCell ref="O2:O3"/>
    <mergeCell ref="C2:N3"/>
    <mergeCell ref="B33:E33"/>
    <mergeCell ref="B34:C34"/>
    <mergeCell ref="B66:E66"/>
    <mergeCell ref="G10:H10"/>
    <mergeCell ref="A7:H7"/>
    <mergeCell ref="E52:F52"/>
    <mergeCell ref="E53:F53"/>
    <mergeCell ref="A2:B3"/>
    <mergeCell ref="A4:H4"/>
    <mergeCell ref="G9:H9"/>
    <mergeCell ref="B19:F19"/>
    <mergeCell ref="G19:G20"/>
    <mergeCell ref="H19:H20"/>
    <mergeCell ref="I19:I20"/>
  </mergeCells>
  <conditionalFormatting sqref="A2 C2">
    <cfRule type="cellIs" dxfId="25" priority="40" operator="equal">
      <formula>"ERROR"</formula>
    </cfRule>
  </conditionalFormatting>
  <conditionalFormatting sqref="H13">
    <cfRule type="cellIs" dxfId="24" priority="24" operator="equal">
      <formula>"INEXISTENTE"</formula>
    </cfRule>
    <cfRule type="cellIs" dxfId="23" priority="25" operator="equal">
      <formula>"INADECUADO"</formula>
    </cfRule>
    <cfRule type="cellIs" dxfId="22" priority="26" operator="equal">
      <formula>"PARCIALMENTE ADECUADO"</formula>
    </cfRule>
    <cfRule type="cellIs" dxfId="21" priority="27" operator="equal">
      <formula>"ADECUADO"</formula>
    </cfRule>
  </conditionalFormatting>
  <conditionalFormatting sqref="H13">
    <cfRule type="cellIs" dxfId="20" priority="28" operator="equal">
      <formula>"ERROR"</formula>
    </cfRule>
  </conditionalFormatting>
  <conditionalFormatting sqref="D100">
    <cfRule type="expression" dxfId="19" priority="13">
      <formula>$D$100="ABSTENCIÓN"</formula>
    </cfRule>
    <cfRule type="expression" dxfId="18" priority="14">
      <formula>$D$100="NEGATIVA"</formula>
    </cfRule>
    <cfRule type="expression" dxfId="17" priority="15">
      <formula>$D$100="CON SALVEDADES"</formula>
    </cfRule>
    <cfRule type="expression" dxfId="16" priority="16">
      <formula>$D$100="LIMPIO O SIN SALVEDADES"</formula>
    </cfRule>
  </conditionalFormatting>
  <conditionalFormatting sqref="D101">
    <cfRule type="expression" dxfId="15" priority="9">
      <formula>$D$101="ABSTENCIÓN"</formula>
    </cfRule>
    <cfRule type="expression" dxfId="14" priority="10">
      <formula>$D$101="NEGATIVA"</formula>
    </cfRule>
    <cfRule type="expression" dxfId="13" priority="11">
      <formula>$D$101="CON SALVEDADES"</formula>
    </cfRule>
    <cfRule type="expression" dxfId="12" priority="12">
      <formula>$D$101="LIMPIO O SIN SALVEDADES"</formula>
    </cfRule>
  </conditionalFormatting>
  <conditionalFormatting sqref="G100">
    <cfRule type="expression" dxfId="11" priority="5">
      <formula>$G$100="ABSTENCIÓN"</formula>
    </cfRule>
    <cfRule type="expression" dxfId="10" priority="6">
      <formula>$G$100="NEGATIVA"</formula>
    </cfRule>
    <cfRule type="expression" dxfId="9" priority="7">
      <formula>$G$100="CON SALVEDADES"</formula>
    </cfRule>
    <cfRule type="expression" dxfId="8" priority="8">
      <formula>$G$100="LIMPIO O SIN SALVEDADES"</formula>
    </cfRule>
  </conditionalFormatting>
  <conditionalFormatting sqref="G101">
    <cfRule type="expression" dxfId="7" priority="1">
      <formula>$G$100="ABSTENCIÓN"</formula>
    </cfRule>
    <cfRule type="expression" dxfId="6" priority="2">
      <formula>$G$100="NEGATIVA"</formula>
    </cfRule>
    <cfRule type="expression" dxfId="5" priority="3">
      <formula>$G$100="CON SALVEDADES"</formula>
    </cfRule>
    <cfRule type="expression" dxfId="4" priority="4">
      <formula>$G$100="LIMPIO O SIN SALVEDADES"</formula>
    </cfRule>
  </conditionalFormatting>
  <dataValidations count="2">
    <dataValidation type="custom" allowBlank="1" showInputMessage="1" showErrorMessage="1" sqref="K31:K33 K21:K26 K29">
      <formula1>#REF!&lt;=100%</formula1>
    </dataValidation>
    <dataValidation type="list" allowBlank="1" showInputMessage="1" showErrorMessage="1" sqref="L56">
      <formula1>#REF!</formula1>
    </dataValidation>
  </dataValidations>
  <pageMargins left="0.7" right="0.7" top="0.75" bottom="0.75" header="0.3" footer="0.3"/>
  <pageSetup orientation="portrait" r:id="rId1"/>
  <ignoredErrors>
    <ignoredError sqref="K29 H72:J72 I74 G73 J71 J73 J74:J78 M71" formula="1"/>
  </ignoredError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LISTAS!$U$3:$U$20</xm:f>
          </x14:formula1>
          <xm:sqref>G39:G53</xm:sqref>
        </x14:dataValidation>
        <x14:dataValidation type="list" allowBlank="1" showInputMessage="1" showErrorMessage="1">
          <x14:formula1>
            <xm:f>LISTAS!$W$3:$W$13</xm:f>
          </x14:formula1>
          <xm:sqref>H39:H53</xm:sqref>
        </x14:dataValidation>
        <x14:dataValidation type="list" allowBlank="1" showInputMessage="1" showErrorMessage="1">
          <x14:formula1>
            <xm:f>LISTAS!$V$3:$V$10</xm:f>
          </x14:formula1>
          <xm:sqref>E71:E78 L54 M39:M53</xm:sqref>
        </x14:dataValidation>
        <x14:dataValidation type="list" allowBlank="1" showInputMessage="1" showErrorMessage="1">
          <x14:formula1>
            <xm:f>LISTAS!$W$3:$W$14</xm:f>
          </x14:formula1>
          <xm:sqref>H38</xm:sqref>
        </x14:dataValidation>
        <x14:dataValidation type="list" allowBlank="1" showInputMessage="1" showErrorMessage="1">
          <x14:formula1>
            <xm:f>LISTAS!$V$3:$V$11</xm:f>
          </x14:formula1>
          <xm:sqref>M38</xm:sqref>
        </x14:dataValidation>
        <x14:dataValidation type="list" allowBlank="1" showInputMessage="1" showErrorMessage="1">
          <x14:formula1>
            <xm:f>LISTAS!$T$3:$T$11</xm:f>
          </x14:formula1>
          <xm:sqref>D38:D53</xm:sqref>
        </x14:dataValidation>
        <x14:dataValidation type="list" allowBlank="1" showInputMessage="1" showErrorMessage="1">
          <x14:formula1>
            <xm:f>'ANALITICA PRESUPUESTO'!$AT$18:$AT$96</xm:f>
          </x14:formula1>
          <xm:sqref>E38:F53</xm:sqref>
        </x14:dataValidation>
        <x14:dataValidation type="list" allowBlank="1" showInputMessage="1" showErrorMessage="1">
          <x14:formula1>
            <xm:f>LISTAS!$S$3:$S$24</xm:f>
          </x14:formula1>
          <xm:sqref>C43:C53</xm:sqref>
        </x14:dataValidation>
        <x14:dataValidation type="list" allowBlank="1" showInputMessage="1" showErrorMessage="1">
          <x14:formula1>
            <xm:f>LISTAS!$U$3:$U$22</xm:f>
          </x14:formula1>
          <xm:sqref>G38</xm:sqref>
        </x14:dataValidation>
        <x14:dataValidation type="list" allowBlank="1" showInputMessage="1" showErrorMessage="1">
          <x14:formula1>
            <xm:f>LISTAS!$S$3:$S$25</xm:f>
          </x14:formula1>
          <xm:sqref>C38:C42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01"/>
  <sheetViews>
    <sheetView workbookViewId="0">
      <selection activeCell="A2" sqref="A2:P101"/>
    </sheetView>
  </sheetViews>
  <sheetFormatPr baseColWidth="10" defaultRowHeight="15" x14ac:dyDescent="0.25"/>
  <sheetData>
    <row r="2" spans="1:16" x14ac:dyDescent="0.25">
      <c r="A2" s="627"/>
      <c r="B2" s="627"/>
      <c r="C2" s="627"/>
      <c r="D2" s="627"/>
      <c r="E2" s="627"/>
      <c r="F2" s="627"/>
      <c r="G2" s="627"/>
      <c r="H2" s="627"/>
      <c r="I2" s="627"/>
      <c r="J2" s="627"/>
      <c r="K2" s="627"/>
      <c r="L2" s="627"/>
      <c r="M2" s="627"/>
      <c r="N2" s="627"/>
      <c r="O2" s="627"/>
      <c r="P2" s="627"/>
    </row>
    <row r="3" spans="1:16" x14ac:dyDescent="0.25">
      <c r="A3" s="627"/>
      <c r="B3" s="627"/>
      <c r="C3" s="627"/>
      <c r="D3" s="627"/>
      <c r="E3" s="627"/>
      <c r="F3" s="627"/>
      <c r="G3" s="627"/>
      <c r="H3" s="627"/>
      <c r="I3" s="627"/>
      <c r="J3" s="627"/>
      <c r="K3" s="627"/>
      <c r="L3" s="627"/>
      <c r="M3" s="627"/>
      <c r="N3" s="627"/>
      <c r="O3" s="627"/>
      <c r="P3" s="627"/>
    </row>
    <row r="4" spans="1:16" x14ac:dyDescent="0.25">
      <c r="A4" s="627"/>
      <c r="B4" s="627"/>
      <c r="C4" s="627"/>
      <c r="D4" s="627"/>
      <c r="E4" s="627"/>
      <c r="F4" s="627"/>
      <c r="G4" s="627"/>
      <c r="H4" s="627"/>
      <c r="I4" s="627"/>
      <c r="J4" s="627"/>
      <c r="K4" s="627"/>
      <c r="L4" s="627"/>
      <c r="M4" s="627"/>
      <c r="N4" s="627"/>
      <c r="O4" s="627"/>
      <c r="P4" s="627"/>
    </row>
    <row r="5" spans="1:16" x14ac:dyDescent="0.25">
      <c r="A5" s="627"/>
      <c r="B5" s="627"/>
      <c r="C5" s="627"/>
      <c r="D5" s="627"/>
      <c r="E5" s="627"/>
      <c r="F5" s="627"/>
      <c r="G5" s="627"/>
      <c r="H5" s="627"/>
      <c r="I5" s="627"/>
      <c r="J5" s="627"/>
      <c r="K5" s="627"/>
      <c r="L5" s="627"/>
      <c r="M5" s="627"/>
      <c r="N5" s="627"/>
      <c r="O5" s="627"/>
      <c r="P5" s="627"/>
    </row>
    <row r="6" spans="1:16" x14ac:dyDescent="0.25">
      <c r="A6" s="627"/>
      <c r="B6" s="627"/>
      <c r="C6" s="627"/>
      <c r="D6" s="627"/>
      <c r="E6" s="627"/>
      <c r="F6" s="627"/>
      <c r="G6" s="627"/>
      <c r="H6" s="627"/>
      <c r="I6" s="627"/>
      <c r="J6" s="627"/>
      <c r="K6" s="627"/>
      <c r="L6" s="627"/>
      <c r="M6" s="627"/>
      <c r="N6" s="627"/>
      <c r="O6" s="627"/>
      <c r="P6" s="627"/>
    </row>
    <row r="7" spans="1:16" x14ac:dyDescent="0.25">
      <c r="A7" s="627"/>
      <c r="B7" s="627"/>
      <c r="C7" s="627"/>
      <c r="D7" s="627"/>
      <c r="E7" s="627"/>
      <c r="F7" s="627"/>
      <c r="G7" s="627"/>
      <c r="H7" s="627"/>
      <c r="I7" s="627"/>
      <c r="J7" s="627"/>
      <c r="K7" s="627"/>
      <c r="L7" s="627"/>
      <c r="M7" s="627"/>
      <c r="N7" s="627"/>
      <c r="O7" s="627"/>
      <c r="P7" s="627"/>
    </row>
    <row r="8" spans="1:16" x14ac:dyDescent="0.25">
      <c r="A8" s="627"/>
      <c r="B8" s="627"/>
      <c r="C8" s="627"/>
      <c r="D8" s="627"/>
      <c r="E8" s="627"/>
      <c r="F8" s="627"/>
      <c r="G8" s="627"/>
      <c r="H8" s="627"/>
      <c r="I8" s="627"/>
      <c r="J8" s="627"/>
      <c r="K8" s="627"/>
      <c r="L8" s="627"/>
      <c r="M8" s="627"/>
      <c r="N8" s="627"/>
      <c r="O8" s="627"/>
      <c r="P8" s="627"/>
    </row>
    <row r="9" spans="1:16" x14ac:dyDescent="0.25">
      <c r="A9" s="627"/>
      <c r="B9" s="627"/>
      <c r="C9" s="627"/>
      <c r="D9" s="627"/>
      <c r="E9" s="627"/>
      <c r="F9" s="627"/>
      <c r="G9" s="627"/>
      <c r="H9" s="627"/>
      <c r="I9" s="627"/>
      <c r="J9" s="627"/>
      <c r="K9" s="627"/>
      <c r="L9" s="627"/>
      <c r="M9" s="627"/>
      <c r="N9" s="627"/>
      <c r="O9" s="627"/>
      <c r="P9" s="627"/>
    </row>
    <row r="10" spans="1:16" x14ac:dyDescent="0.25">
      <c r="A10" s="627"/>
      <c r="B10" s="627"/>
      <c r="C10" s="627"/>
      <c r="D10" s="627"/>
      <c r="E10" s="627"/>
      <c r="F10" s="627"/>
      <c r="G10" s="627"/>
      <c r="H10" s="627"/>
      <c r="I10" s="627"/>
      <c r="J10" s="627"/>
      <c r="K10" s="627"/>
      <c r="L10" s="627"/>
      <c r="M10" s="627"/>
      <c r="N10" s="627"/>
      <c r="O10" s="627"/>
      <c r="P10" s="627"/>
    </row>
    <row r="11" spans="1:16" x14ac:dyDescent="0.25">
      <c r="A11" s="627"/>
      <c r="B11" s="627"/>
      <c r="C11" s="627"/>
      <c r="D11" s="627"/>
      <c r="E11" s="627"/>
      <c r="F11" s="627"/>
      <c r="G11" s="627"/>
      <c r="H11" s="627"/>
      <c r="I11" s="627"/>
      <c r="J11" s="627"/>
      <c r="K11" s="627"/>
      <c r="L11" s="627"/>
      <c r="M11" s="627"/>
      <c r="N11" s="627"/>
      <c r="O11" s="627"/>
      <c r="P11" s="627"/>
    </row>
    <row r="12" spans="1:16" x14ac:dyDescent="0.25">
      <c r="A12" s="627"/>
      <c r="B12" s="627"/>
      <c r="C12" s="627"/>
      <c r="D12" s="627"/>
      <c r="E12" s="627"/>
      <c r="F12" s="627"/>
      <c r="G12" s="627"/>
      <c r="H12" s="627"/>
      <c r="I12" s="627"/>
      <c r="J12" s="627"/>
      <c r="K12" s="627"/>
      <c r="L12" s="627"/>
      <c r="M12" s="627"/>
      <c r="N12" s="627"/>
      <c r="O12" s="627"/>
      <c r="P12" s="627"/>
    </row>
    <row r="13" spans="1:16" x14ac:dyDescent="0.25">
      <c r="A13" s="627"/>
      <c r="B13" s="627"/>
      <c r="C13" s="627"/>
      <c r="D13" s="627"/>
      <c r="E13" s="627"/>
      <c r="F13" s="627"/>
      <c r="G13" s="627"/>
      <c r="H13" s="627"/>
      <c r="I13" s="627"/>
      <c r="J13" s="627"/>
      <c r="K13" s="627"/>
      <c r="L13" s="627"/>
      <c r="M13" s="627"/>
      <c r="N13" s="627"/>
      <c r="O13" s="627"/>
      <c r="P13" s="627"/>
    </row>
    <row r="14" spans="1:16" x14ac:dyDescent="0.25">
      <c r="A14" s="627"/>
      <c r="B14" s="627"/>
      <c r="C14" s="627"/>
      <c r="D14" s="627"/>
      <c r="E14" s="627"/>
      <c r="F14" s="627"/>
      <c r="G14" s="627"/>
      <c r="H14" s="627"/>
      <c r="I14" s="627"/>
      <c r="J14" s="627"/>
      <c r="K14" s="627"/>
      <c r="L14" s="627"/>
      <c r="M14" s="627"/>
      <c r="N14" s="627"/>
      <c r="O14" s="627"/>
      <c r="P14" s="627"/>
    </row>
    <row r="15" spans="1:16" x14ac:dyDescent="0.25">
      <c r="A15" s="627"/>
      <c r="B15" s="627"/>
      <c r="C15" s="627"/>
      <c r="D15" s="627"/>
      <c r="E15" s="627"/>
      <c r="F15" s="627"/>
      <c r="G15" s="627"/>
      <c r="H15" s="627"/>
      <c r="I15" s="627"/>
      <c r="J15" s="627"/>
      <c r="K15" s="627"/>
      <c r="L15" s="627"/>
      <c r="M15" s="627"/>
      <c r="N15" s="627"/>
      <c r="O15" s="627"/>
      <c r="P15" s="627"/>
    </row>
    <row r="16" spans="1:16" x14ac:dyDescent="0.25">
      <c r="A16" s="627"/>
      <c r="B16" s="627"/>
      <c r="C16" s="627"/>
      <c r="D16" s="627"/>
      <c r="E16" s="627"/>
      <c r="F16" s="627"/>
      <c r="G16" s="627"/>
      <c r="H16" s="627"/>
      <c r="I16" s="627"/>
      <c r="J16" s="627"/>
      <c r="K16" s="627"/>
      <c r="L16" s="627"/>
      <c r="M16" s="627"/>
      <c r="N16" s="627"/>
      <c r="O16" s="627"/>
      <c r="P16" s="627"/>
    </row>
    <row r="17" spans="1:16" x14ac:dyDescent="0.25">
      <c r="A17" s="627"/>
      <c r="B17" s="627"/>
      <c r="C17" s="627"/>
      <c r="D17" s="627"/>
      <c r="E17" s="627"/>
      <c r="F17" s="627"/>
      <c r="G17" s="627"/>
      <c r="H17" s="627"/>
      <c r="I17" s="627"/>
      <c r="J17" s="627"/>
      <c r="K17" s="627"/>
      <c r="L17" s="627"/>
      <c r="M17" s="627"/>
      <c r="N17" s="627"/>
      <c r="O17" s="627"/>
      <c r="P17" s="627"/>
    </row>
    <row r="18" spans="1:16" x14ac:dyDescent="0.25">
      <c r="A18" s="627"/>
      <c r="B18" s="627"/>
      <c r="C18" s="627"/>
      <c r="D18" s="627"/>
      <c r="E18" s="627"/>
      <c r="F18" s="627"/>
      <c r="G18" s="627"/>
      <c r="H18" s="627"/>
      <c r="I18" s="627"/>
      <c r="J18" s="627"/>
      <c r="K18" s="627"/>
      <c r="L18" s="627"/>
      <c r="M18" s="627"/>
      <c r="N18" s="627"/>
      <c r="O18" s="627"/>
      <c r="P18" s="627"/>
    </row>
    <row r="19" spans="1:16" x14ac:dyDescent="0.25">
      <c r="A19" s="627"/>
      <c r="B19" s="627"/>
      <c r="C19" s="627"/>
      <c r="D19" s="627"/>
      <c r="E19" s="627"/>
      <c r="F19" s="627"/>
      <c r="G19" s="627"/>
      <c r="H19" s="627"/>
      <c r="I19" s="627"/>
      <c r="J19" s="627"/>
      <c r="K19" s="627"/>
      <c r="L19" s="627"/>
      <c r="M19" s="627"/>
      <c r="N19" s="627"/>
      <c r="O19" s="627"/>
      <c r="P19" s="627"/>
    </row>
    <row r="20" spans="1:16" x14ac:dyDescent="0.25">
      <c r="A20" s="627"/>
      <c r="B20" s="627"/>
      <c r="C20" s="627"/>
      <c r="D20" s="627"/>
      <c r="E20" s="627"/>
      <c r="F20" s="627"/>
      <c r="G20" s="627"/>
      <c r="H20" s="627"/>
      <c r="I20" s="627"/>
      <c r="J20" s="627"/>
      <c r="K20" s="627"/>
      <c r="L20" s="627"/>
      <c r="M20" s="627"/>
      <c r="N20" s="627"/>
      <c r="O20" s="627"/>
      <c r="P20" s="627"/>
    </row>
    <row r="21" spans="1:16" x14ac:dyDescent="0.25">
      <c r="A21" s="627"/>
      <c r="B21" s="627"/>
      <c r="C21" s="627"/>
      <c r="D21" s="627"/>
      <c r="E21" s="627"/>
      <c r="F21" s="627"/>
      <c r="G21" s="627"/>
      <c r="H21" s="627"/>
      <c r="I21" s="627"/>
      <c r="J21" s="627"/>
      <c r="K21" s="627"/>
      <c r="L21" s="627"/>
      <c r="M21" s="627"/>
      <c r="N21" s="627"/>
      <c r="O21" s="627"/>
      <c r="P21" s="627"/>
    </row>
    <row r="22" spans="1:16" x14ac:dyDescent="0.25">
      <c r="A22" s="627"/>
      <c r="B22" s="627"/>
      <c r="C22" s="627"/>
      <c r="D22" s="627"/>
      <c r="E22" s="627"/>
      <c r="F22" s="627"/>
      <c r="G22" s="627"/>
      <c r="H22" s="627"/>
      <c r="I22" s="627"/>
      <c r="J22" s="627"/>
      <c r="K22" s="627"/>
      <c r="L22" s="627"/>
      <c r="M22" s="627"/>
      <c r="N22" s="627"/>
      <c r="O22" s="627"/>
      <c r="P22" s="627"/>
    </row>
    <row r="23" spans="1:16" x14ac:dyDescent="0.25">
      <c r="A23" s="627"/>
      <c r="B23" s="627"/>
      <c r="C23" s="627"/>
      <c r="D23" s="627"/>
      <c r="E23" s="627"/>
      <c r="F23" s="627"/>
      <c r="G23" s="627"/>
      <c r="H23" s="627"/>
      <c r="I23" s="627"/>
      <c r="J23" s="627"/>
      <c r="K23" s="627"/>
      <c r="L23" s="627"/>
      <c r="M23" s="627"/>
      <c r="N23" s="627"/>
      <c r="O23" s="627"/>
      <c r="P23" s="627"/>
    </row>
    <row r="24" spans="1:16" x14ac:dyDescent="0.25">
      <c r="A24" s="627"/>
      <c r="B24" s="627"/>
      <c r="C24" s="627"/>
      <c r="D24" s="627"/>
      <c r="E24" s="627"/>
      <c r="F24" s="627"/>
      <c r="G24" s="627"/>
      <c r="H24" s="627"/>
      <c r="I24" s="627"/>
      <c r="J24" s="627"/>
      <c r="K24" s="627"/>
      <c r="L24" s="627"/>
      <c r="M24" s="627"/>
      <c r="N24" s="627"/>
      <c r="O24" s="627"/>
      <c r="P24" s="627"/>
    </row>
    <row r="25" spans="1:16" x14ac:dyDescent="0.25">
      <c r="A25" s="627"/>
      <c r="B25" s="627"/>
      <c r="C25" s="627"/>
      <c r="D25" s="627"/>
      <c r="E25" s="627"/>
      <c r="F25" s="627"/>
      <c r="G25" s="627"/>
      <c r="H25" s="627"/>
      <c r="I25" s="627"/>
      <c r="J25" s="627"/>
      <c r="K25" s="627"/>
      <c r="L25" s="627"/>
      <c r="M25" s="627"/>
      <c r="N25" s="627"/>
      <c r="O25" s="627"/>
      <c r="P25" s="627"/>
    </row>
    <row r="26" spans="1:16" x14ac:dyDescent="0.25">
      <c r="A26" s="627"/>
      <c r="B26" s="627"/>
      <c r="C26" s="627"/>
      <c r="D26" s="627"/>
      <c r="E26" s="627"/>
      <c r="F26" s="627"/>
      <c r="G26" s="627"/>
      <c r="H26" s="627"/>
      <c r="I26" s="627"/>
      <c r="J26" s="627"/>
      <c r="K26" s="627"/>
      <c r="L26" s="627"/>
      <c r="M26" s="627"/>
      <c r="N26" s="627"/>
      <c r="O26" s="627"/>
      <c r="P26" s="627"/>
    </row>
    <row r="27" spans="1:16" x14ac:dyDescent="0.25">
      <c r="A27" s="627"/>
      <c r="B27" s="627"/>
      <c r="C27" s="627"/>
      <c r="D27" s="627"/>
      <c r="E27" s="627"/>
      <c r="F27" s="627"/>
      <c r="G27" s="627"/>
      <c r="H27" s="627"/>
      <c r="I27" s="627"/>
      <c r="J27" s="627"/>
      <c r="K27" s="627"/>
      <c r="L27" s="627"/>
      <c r="M27" s="627"/>
      <c r="N27" s="627"/>
      <c r="O27" s="627"/>
      <c r="P27" s="627"/>
    </row>
    <row r="28" spans="1:16" x14ac:dyDescent="0.25">
      <c r="A28" s="627"/>
      <c r="B28" s="627"/>
      <c r="C28" s="627"/>
      <c r="D28" s="627"/>
      <c r="E28" s="627"/>
      <c r="F28" s="627"/>
      <c r="G28" s="627"/>
      <c r="H28" s="627"/>
      <c r="I28" s="627"/>
      <c r="J28" s="627"/>
      <c r="K28" s="627"/>
      <c r="L28" s="627"/>
      <c r="M28" s="627"/>
      <c r="N28" s="627"/>
      <c r="O28" s="627"/>
      <c r="P28" s="627"/>
    </row>
    <row r="29" spans="1:16" x14ac:dyDescent="0.25">
      <c r="A29" s="627"/>
      <c r="B29" s="627"/>
      <c r="C29" s="627"/>
      <c r="D29" s="627"/>
      <c r="E29" s="627"/>
      <c r="F29" s="627"/>
      <c r="G29" s="627"/>
      <c r="H29" s="627"/>
      <c r="I29" s="627"/>
      <c r="J29" s="627"/>
      <c r="K29" s="627"/>
      <c r="L29" s="627"/>
      <c r="M29" s="627"/>
      <c r="N29" s="627"/>
      <c r="O29" s="627"/>
      <c r="P29" s="627"/>
    </row>
    <row r="30" spans="1:16" x14ac:dyDescent="0.25">
      <c r="A30" s="627"/>
      <c r="B30" s="627"/>
      <c r="C30" s="627"/>
      <c r="D30" s="627"/>
      <c r="E30" s="627"/>
      <c r="F30" s="627"/>
      <c r="G30" s="627"/>
      <c r="H30" s="627"/>
      <c r="I30" s="627"/>
      <c r="J30" s="627"/>
      <c r="K30" s="627"/>
      <c r="L30" s="627"/>
      <c r="M30" s="627"/>
      <c r="N30" s="627"/>
      <c r="O30" s="627"/>
      <c r="P30" s="627"/>
    </row>
    <row r="31" spans="1:16" x14ac:dyDescent="0.25">
      <c r="A31" s="627"/>
      <c r="B31" s="627"/>
      <c r="C31" s="627"/>
      <c r="D31" s="627"/>
      <c r="E31" s="627"/>
      <c r="F31" s="627"/>
      <c r="G31" s="627"/>
      <c r="H31" s="627"/>
      <c r="I31" s="627"/>
      <c r="J31" s="627"/>
      <c r="K31" s="627"/>
      <c r="L31" s="627"/>
      <c r="M31" s="627"/>
      <c r="N31" s="627"/>
      <c r="O31" s="627"/>
      <c r="P31" s="627"/>
    </row>
    <row r="32" spans="1:16" x14ac:dyDescent="0.25">
      <c r="A32" s="627"/>
      <c r="B32" s="627"/>
      <c r="C32" s="627"/>
      <c r="D32" s="627"/>
      <c r="E32" s="627"/>
      <c r="F32" s="627"/>
      <c r="G32" s="627"/>
      <c r="H32" s="627"/>
      <c r="I32" s="627"/>
      <c r="J32" s="627"/>
      <c r="K32" s="627"/>
      <c r="L32" s="627"/>
      <c r="M32" s="627"/>
      <c r="N32" s="627"/>
      <c r="O32" s="627"/>
      <c r="P32" s="627"/>
    </row>
    <row r="33" spans="1:16" x14ac:dyDescent="0.25">
      <c r="A33" s="627"/>
      <c r="B33" s="627"/>
      <c r="C33" s="627"/>
      <c r="D33" s="627"/>
      <c r="E33" s="627"/>
      <c r="F33" s="627"/>
      <c r="G33" s="627"/>
      <c r="H33" s="627"/>
      <c r="I33" s="627"/>
      <c r="J33" s="627"/>
      <c r="K33" s="627"/>
      <c r="L33" s="627"/>
      <c r="M33" s="627"/>
      <c r="N33" s="627"/>
      <c r="O33" s="627"/>
      <c r="P33" s="627"/>
    </row>
    <row r="34" spans="1:16" x14ac:dyDescent="0.25">
      <c r="A34" s="627"/>
      <c r="B34" s="627"/>
      <c r="C34" s="627"/>
      <c r="D34" s="627"/>
      <c r="E34" s="627"/>
      <c r="F34" s="627"/>
      <c r="G34" s="627"/>
      <c r="H34" s="627"/>
      <c r="I34" s="627"/>
      <c r="J34" s="627"/>
      <c r="K34" s="627"/>
      <c r="L34" s="627"/>
      <c r="M34" s="627"/>
      <c r="N34" s="627"/>
      <c r="O34" s="627"/>
      <c r="P34" s="627"/>
    </row>
    <row r="35" spans="1:16" x14ac:dyDescent="0.25">
      <c r="A35" s="627"/>
      <c r="B35" s="627"/>
      <c r="C35" s="627"/>
      <c r="D35" s="627"/>
      <c r="E35" s="627"/>
      <c r="F35" s="627"/>
      <c r="G35" s="627"/>
      <c r="H35" s="627"/>
      <c r="I35" s="627"/>
      <c r="J35" s="627"/>
      <c r="K35" s="627"/>
      <c r="L35" s="627"/>
      <c r="M35" s="627"/>
      <c r="N35" s="627"/>
      <c r="O35" s="627"/>
      <c r="P35" s="627"/>
    </row>
    <row r="36" spans="1:16" x14ac:dyDescent="0.25">
      <c r="A36" s="627"/>
      <c r="B36" s="627"/>
      <c r="C36" s="627"/>
      <c r="D36" s="627"/>
      <c r="E36" s="627"/>
      <c r="F36" s="627"/>
      <c r="G36" s="627"/>
      <c r="H36" s="627"/>
      <c r="I36" s="627"/>
      <c r="J36" s="627"/>
      <c r="K36" s="627"/>
      <c r="L36" s="627"/>
      <c r="M36" s="627"/>
      <c r="N36" s="627"/>
      <c r="O36" s="627"/>
      <c r="P36" s="627"/>
    </row>
    <row r="37" spans="1:16" x14ac:dyDescent="0.25">
      <c r="A37" s="627"/>
      <c r="B37" s="627"/>
      <c r="C37" s="627"/>
      <c r="D37" s="627"/>
      <c r="E37" s="627"/>
      <c r="F37" s="627"/>
      <c r="G37" s="627"/>
      <c r="H37" s="627"/>
      <c r="I37" s="627"/>
      <c r="J37" s="627"/>
      <c r="K37" s="627"/>
      <c r="L37" s="627"/>
      <c r="M37" s="627"/>
      <c r="N37" s="627"/>
      <c r="O37" s="627"/>
      <c r="P37" s="627"/>
    </row>
    <row r="38" spans="1:16" x14ac:dyDescent="0.25">
      <c r="A38" s="627"/>
      <c r="B38" s="627"/>
      <c r="C38" s="627"/>
      <c r="D38" s="627"/>
      <c r="E38" s="627"/>
      <c r="F38" s="627"/>
      <c r="G38" s="627"/>
      <c r="H38" s="627"/>
      <c r="I38" s="627"/>
      <c r="J38" s="627"/>
      <c r="K38" s="627"/>
      <c r="L38" s="627"/>
      <c r="M38" s="627"/>
      <c r="N38" s="627"/>
      <c r="O38" s="627"/>
      <c r="P38" s="627"/>
    </row>
    <row r="39" spans="1:16" x14ac:dyDescent="0.25">
      <c r="A39" s="627"/>
      <c r="B39" s="627"/>
      <c r="C39" s="627"/>
      <c r="D39" s="627"/>
      <c r="E39" s="627"/>
      <c r="F39" s="627"/>
      <c r="G39" s="627"/>
      <c r="H39" s="627"/>
      <c r="I39" s="627"/>
      <c r="J39" s="627"/>
      <c r="K39" s="627"/>
      <c r="L39" s="627"/>
      <c r="M39" s="627"/>
      <c r="N39" s="627"/>
      <c r="O39" s="627"/>
      <c r="P39" s="627"/>
    </row>
    <row r="40" spans="1:16" x14ac:dyDescent="0.25">
      <c r="A40" s="627"/>
      <c r="B40" s="627"/>
      <c r="C40" s="627"/>
      <c r="D40" s="627"/>
      <c r="E40" s="627"/>
      <c r="F40" s="627"/>
      <c r="G40" s="627"/>
      <c r="H40" s="627"/>
      <c r="I40" s="627"/>
      <c r="J40" s="627"/>
      <c r="K40" s="627"/>
      <c r="L40" s="627"/>
      <c r="M40" s="627"/>
      <c r="N40" s="627"/>
      <c r="O40" s="627"/>
      <c r="P40" s="627"/>
    </row>
    <row r="41" spans="1:16" x14ac:dyDescent="0.25">
      <c r="A41" s="627"/>
      <c r="B41" s="627"/>
      <c r="C41" s="627"/>
      <c r="D41" s="627"/>
      <c r="E41" s="627"/>
      <c r="F41" s="627"/>
      <c r="G41" s="627"/>
      <c r="H41" s="627"/>
      <c r="I41" s="627"/>
      <c r="J41" s="627"/>
      <c r="K41" s="627"/>
      <c r="L41" s="627"/>
      <c r="M41" s="627"/>
      <c r="N41" s="627"/>
      <c r="O41" s="627"/>
      <c r="P41" s="627"/>
    </row>
    <row r="42" spans="1:16" x14ac:dyDescent="0.25">
      <c r="A42" s="627"/>
      <c r="B42" s="627"/>
      <c r="C42" s="627"/>
      <c r="D42" s="627"/>
      <c r="E42" s="627"/>
      <c r="F42" s="627"/>
      <c r="G42" s="627"/>
      <c r="H42" s="627"/>
      <c r="I42" s="627"/>
      <c r="J42" s="627"/>
      <c r="K42" s="627"/>
      <c r="L42" s="627"/>
      <c r="M42" s="627"/>
      <c r="N42" s="627"/>
      <c r="O42" s="627"/>
      <c r="P42" s="627"/>
    </row>
    <row r="43" spans="1:16" x14ac:dyDescent="0.25">
      <c r="A43" s="627"/>
      <c r="B43" s="627"/>
      <c r="C43" s="627"/>
      <c r="D43" s="627"/>
      <c r="E43" s="627"/>
      <c r="F43" s="627"/>
      <c r="G43" s="627"/>
      <c r="H43" s="627"/>
      <c r="I43" s="627"/>
      <c r="J43" s="627"/>
      <c r="K43" s="627"/>
      <c r="L43" s="627"/>
      <c r="M43" s="627"/>
      <c r="N43" s="627"/>
      <c r="O43" s="627"/>
      <c r="P43" s="627"/>
    </row>
    <row r="44" spans="1:16" x14ac:dyDescent="0.25">
      <c r="A44" s="627"/>
      <c r="B44" s="627"/>
      <c r="C44" s="627"/>
      <c r="D44" s="627"/>
      <c r="E44" s="627"/>
      <c r="F44" s="627"/>
      <c r="G44" s="627"/>
      <c r="H44" s="627"/>
      <c r="I44" s="627"/>
      <c r="J44" s="627"/>
      <c r="K44" s="627"/>
      <c r="L44" s="627"/>
      <c r="M44" s="627"/>
      <c r="N44" s="627"/>
      <c r="O44" s="627"/>
      <c r="P44" s="627"/>
    </row>
    <row r="45" spans="1:16" x14ac:dyDescent="0.25">
      <c r="A45" s="627"/>
      <c r="B45" s="627"/>
      <c r="C45" s="627"/>
      <c r="D45" s="627"/>
      <c r="E45" s="627"/>
      <c r="F45" s="627"/>
      <c r="G45" s="627"/>
      <c r="H45" s="627"/>
      <c r="I45" s="627"/>
      <c r="J45" s="627"/>
      <c r="K45" s="627"/>
      <c r="L45" s="627"/>
      <c r="M45" s="627"/>
      <c r="N45" s="627"/>
      <c r="O45" s="627"/>
      <c r="P45" s="627"/>
    </row>
    <row r="46" spans="1:16" x14ac:dyDescent="0.25">
      <c r="A46" s="627"/>
      <c r="B46" s="627"/>
      <c r="C46" s="627"/>
      <c r="D46" s="627"/>
      <c r="E46" s="627"/>
      <c r="F46" s="627"/>
      <c r="G46" s="627"/>
      <c r="H46" s="627"/>
      <c r="I46" s="627"/>
      <c r="J46" s="627"/>
      <c r="K46" s="627"/>
      <c r="L46" s="627"/>
      <c r="M46" s="627"/>
      <c r="N46" s="627"/>
      <c r="O46" s="627"/>
      <c r="P46" s="627"/>
    </row>
    <row r="47" spans="1:16" x14ac:dyDescent="0.25">
      <c r="A47" s="627"/>
      <c r="B47" s="627"/>
      <c r="C47" s="627"/>
      <c r="D47" s="627"/>
      <c r="E47" s="627"/>
      <c r="F47" s="627"/>
      <c r="G47" s="627"/>
      <c r="H47" s="627"/>
      <c r="I47" s="627"/>
      <c r="J47" s="627"/>
      <c r="K47" s="627"/>
      <c r="L47" s="627"/>
      <c r="M47" s="627"/>
      <c r="N47" s="627"/>
      <c r="O47" s="627"/>
      <c r="P47" s="627"/>
    </row>
    <row r="48" spans="1:16" x14ac:dyDescent="0.25">
      <c r="A48" s="627"/>
      <c r="B48" s="627"/>
      <c r="C48" s="627"/>
      <c r="D48" s="627"/>
      <c r="E48" s="627"/>
      <c r="F48" s="627"/>
      <c r="G48" s="627"/>
      <c r="H48" s="627"/>
      <c r="I48" s="627"/>
      <c r="J48" s="627"/>
      <c r="K48" s="627"/>
      <c r="L48" s="627"/>
      <c r="M48" s="627"/>
      <c r="N48" s="627"/>
      <c r="O48" s="627"/>
      <c r="P48" s="627"/>
    </row>
    <row r="49" spans="1:16" x14ac:dyDescent="0.25">
      <c r="A49" s="627"/>
      <c r="B49" s="627"/>
      <c r="C49" s="627"/>
      <c r="D49" s="627"/>
      <c r="E49" s="627"/>
      <c r="F49" s="627"/>
      <c r="G49" s="627"/>
      <c r="H49" s="627"/>
      <c r="I49" s="627"/>
      <c r="J49" s="627"/>
      <c r="K49" s="627"/>
      <c r="L49" s="627"/>
      <c r="M49" s="627"/>
      <c r="N49" s="627"/>
      <c r="O49" s="627"/>
      <c r="P49" s="627"/>
    </row>
    <row r="50" spans="1:16" x14ac:dyDescent="0.25">
      <c r="A50" s="627"/>
      <c r="B50" s="627"/>
      <c r="C50" s="627"/>
      <c r="D50" s="627"/>
      <c r="E50" s="627"/>
      <c r="F50" s="627"/>
      <c r="G50" s="627"/>
      <c r="H50" s="627"/>
      <c r="I50" s="627"/>
      <c r="J50" s="627"/>
      <c r="K50" s="627"/>
      <c r="L50" s="627"/>
      <c r="M50" s="627"/>
      <c r="N50" s="627"/>
      <c r="O50" s="627"/>
      <c r="P50" s="627"/>
    </row>
    <row r="51" spans="1:16" x14ac:dyDescent="0.25">
      <c r="A51" s="627"/>
      <c r="B51" s="627"/>
      <c r="C51" s="627"/>
      <c r="D51" s="627"/>
      <c r="E51" s="627"/>
      <c r="F51" s="627"/>
      <c r="G51" s="627"/>
      <c r="H51" s="627"/>
      <c r="I51" s="627"/>
      <c r="J51" s="627"/>
      <c r="K51" s="627"/>
      <c r="L51" s="627"/>
      <c r="M51" s="627"/>
      <c r="N51" s="627"/>
      <c r="O51" s="627"/>
      <c r="P51" s="627"/>
    </row>
    <row r="52" spans="1:16" x14ac:dyDescent="0.25">
      <c r="A52" s="627"/>
      <c r="B52" s="627"/>
      <c r="C52" s="627"/>
      <c r="D52" s="627"/>
      <c r="E52" s="627"/>
      <c r="F52" s="627"/>
      <c r="G52" s="627"/>
      <c r="H52" s="627"/>
      <c r="I52" s="627"/>
      <c r="J52" s="627"/>
      <c r="K52" s="627"/>
      <c r="L52" s="627"/>
      <c r="M52" s="627"/>
      <c r="N52" s="627"/>
      <c r="O52" s="627"/>
      <c r="P52" s="627"/>
    </row>
    <row r="53" spans="1:16" x14ac:dyDescent="0.25">
      <c r="A53" s="627"/>
      <c r="B53" s="627"/>
      <c r="C53" s="627"/>
      <c r="D53" s="627"/>
      <c r="E53" s="627"/>
      <c r="F53" s="627"/>
      <c r="G53" s="627"/>
      <c r="H53" s="627"/>
      <c r="I53" s="627"/>
      <c r="J53" s="627"/>
      <c r="K53" s="627"/>
      <c r="L53" s="627"/>
      <c r="M53" s="627"/>
      <c r="N53" s="627"/>
      <c r="O53" s="627"/>
      <c r="P53" s="627"/>
    </row>
    <row r="54" spans="1:16" x14ac:dyDescent="0.25">
      <c r="A54" s="627"/>
      <c r="B54" s="627"/>
      <c r="C54" s="627"/>
      <c r="D54" s="627"/>
      <c r="E54" s="627"/>
      <c r="F54" s="627"/>
      <c r="G54" s="627"/>
      <c r="H54" s="627"/>
      <c r="I54" s="627"/>
      <c r="J54" s="627"/>
      <c r="K54" s="627"/>
      <c r="L54" s="627"/>
      <c r="M54" s="627"/>
      <c r="N54" s="627"/>
      <c r="O54" s="627"/>
      <c r="P54" s="627"/>
    </row>
    <row r="55" spans="1:16" x14ac:dyDescent="0.25">
      <c r="A55" s="627"/>
      <c r="B55" s="627"/>
      <c r="C55" s="627"/>
      <c r="D55" s="627"/>
      <c r="E55" s="627"/>
      <c r="F55" s="627"/>
      <c r="G55" s="627"/>
      <c r="H55" s="627"/>
      <c r="I55" s="627"/>
      <c r="J55" s="627"/>
      <c r="K55" s="627"/>
      <c r="L55" s="627"/>
      <c r="M55" s="627"/>
      <c r="N55" s="627"/>
      <c r="O55" s="627"/>
      <c r="P55" s="627"/>
    </row>
    <row r="56" spans="1:16" x14ac:dyDescent="0.25">
      <c r="A56" s="627"/>
      <c r="B56" s="627"/>
      <c r="C56" s="627"/>
      <c r="D56" s="627"/>
      <c r="E56" s="627"/>
      <c r="F56" s="627"/>
      <c r="G56" s="627"/>
      <c r="H56" s="627"/>
      <c r="I56" s="627"/>
      <c r="J56" s="627"/>
      <c r="K56" s="627"/>
      <c r="L56" s="627"/>
      <c r="M56" s="627"/>
      <c r="N56" s="627"/>
      <c r="O56" s="627"/>
      <c r="P56" s="627"/>
    </row>
    <row r="57" spans="1:16" x14ac:dyDescent="0.25">
      <c r="A57" s="627"/>
      <c r="B57" s="627"/>
      <c r="C57" s="627"/>
      <c r="D57" s="627"/>
      <c r="E57" s="627"/>
      <c r="F57" s="627"/>
      <c r="G57" s="627"/>
      <c r="H57" s="627"/>
      <c r="I57" s="627"/>
      <c r="J57" s="627"/>
      <c r="K57" s="627"/>
      <c r="L57" s="627"/>
      <c r="M57" s="627"/>
      <c r="N57" s="627"/>
      <c r="O57" s="627"/>
      <c r="P57" s="627"/>
    </row>
    <row r="58" spans="1:16" x14ac:dyDescent="0.25">
      <c r="A58" s="627"/>
      <c r="B58" s="627"/>
      <c r="C58" s="627"/>
      <c r="D58" s="627"/>
      <c r="E58" s="627"/>
      <c r="F58" s="627"/>
      <c r="G58" s="627"/>
      <c r="H58" s="627"/>
      <c r="I58" s="627"/>
      <c r="J58" s="627"/>
      <c r="K58" s="627"/>
      <c r="L58" s="627"/>
      <c r="M58" s="627"/>
      <c r="N58" s="627"/>
      <c r="O58" s="627"/>
      <c r="P58" s="627"/>
    </row>
    <row r="59" spans="1:16" x14ac:dyDescent="0.25">
      <c r="A59" s="627"/>
      <c r="B59" s="627"/>
      <c r="C59" s="627"/>
      <c r="D59" s="627"/>
      <c r="E59" s="627"/>
      <c r="F59" s="627"/>
      <c r="G59" s="627"/>
      <c r="H59" s="627"/>
      <c r="I59" s="627"/>
      <c r="J59" s="627"/>
      <c r="K59" s="627"/>
      <c r="L59" s="627"/>
      <c r="M59" s="627"/>
      <c r="N59" s="627"/>
      <c r="O59" s="627"/>
      <c r="P59" s="627"/>
    </row>
    <row r="60" spans="1:16" x14ac:dyDescent="0.25">
      <c r="A60" s="627"/>
      <c r="B60" s="627"/>
      <c r="C60" s="627"/>
      <c r="D60" s="627"/>
      <c r="E60" s="627"/>
      <c r="F60" s="627"/>
      <c r="G60" s="627"/>
      <c r="H60" s="627"/>
      <c r="I60" s="627"/>
      <c r="J60" s="627"/>
      <c r="K60" s="627"/>
      <c r="L60" s="627"/>
      <c r="M60" s="627"/>
      <c r="N60" s="627"/>
      <c r="O60" s="627"/>
      <c r="P60" s="627"/>
    </row>
    <row r="61" spans="1:16" x14ac:dyDescent="0.25">
      <c r="A61" s="627"/>
      <c r="B61" s="627"/>
      <c r="C61" s="627"/>
      <c r="D61" s="627"/>
      <c r="E61" s="627"/>
      <c r="F61" s="627"/>
      <c r="G61" s="627"/>
      <c r="H61" s="627"/>
      <c r="I61" s="627"/>
      <c r="J61" s="627"/>
      <c r="K61" s="627"/>
      <c r="L61" s="627"/>
      <c r="M61" s="627"/>
      <c r="N61" s="627"/>
      <c r="O61" s="627"/>
      <c r="P61" s="627"/>
    </row>
    <row r="62" spans="1:16" x14ac:dyDescent="0.25">
      <c r="A62" s="627"/>
      <c r="B62" s="627"/>
      <c r="C62" s="627"/>
      <c r="D62" s="627"/>
      <c r="E62" s="627"/>
      <c r="F62" s="627"/>
      <c r="G62" s="627"/>
      <c r="H62" s="627"/>
      <c r="I62" s="627"/>
      <c r="J62" s="627"/>
      <c r="K62" s="627"/>
      <c r="L62" s="627"/>
      <c r="M62" s="627"/>
      <c r="N62" s="627"/>
      <c r="O62" s="627"/>
      <c r="P62" s="627"/>
    </row>
    <row r="63" spans="1:16" x14ac:dyDescent="0.25">
      <c r="A63" s="627"/>
      <c r="B63" s="627"/>
      <c r="C63" s="627"/>
      <c r="D63" s="627"/>
      <c r="E63" s="627"/>
      <c r="F63" s="627"/>
      <c r="G63" s="627"/>
      <c r="H63" s="627"/>
      <c r="I63" s="627"/>
      <c r="J63" s="627"/>
      <c r="K63" s="627"/>
      <c r="L63" s="627"/>
      <c r="M63" s="627"/>
      <c r="N63" s="627"/>
      <c r="O63" s="627"/>
      <c r="P63" s="627"/>
    </row>
    <row r="64" spans="1:16" x14ac:dyDescent="0.25">
      <c r="A64" s="627"/>
      <c r="B64" s="627"/>
      <c r="C64" s="627"/>
      <c r="D64" s="627"/>
      <c r="E64" s="627"/>
      <c r="F64" s="627"/>
      <c r="G64" s="627"/>
      <c r="H64" s="627"/>
      <c r="I64" s="627"/>
      <c r="J64" s="627"/>
      <c r="K64" s="627"/>
      <c r="L64" s="627"/>
      <c r="M64" s="627"/>
      <c r="N64" s="627"/>
      <c r="O64" s="627"/>
      <c r="P64" s="627"/>
    </row>
    <row r="65" spans="1:16" x14ac:dyDescent="0.25">
      <c r="A65" s="627"/>
      <c r="B65" s="627"/>
      <c r="C65" s="627"/>
      <c r="D65" s="627"/>
      <c r="E65" s="627"/>
      <c r="F65" s="627"/>
      <c r="G65" s="627"/>
      <c r="H65" s="627"/>
      <c r="I65" s="627"/>
      <c r="J65" s="627"/>
      <c r="K65" s="627"/>
      <c r="L65" s="627"/>
      <c r="M65" s="627"/>
      <c r="N65" s="627"/>
      <c r="O65" s="627"/>
      <c r="P65" s="627"/>
    </row>
    <row r="66" spans="1:16" x14ac:dyDescent="0.25">
      <c r="A66" s="627"/>
      <c r="B66" s="627"/>
      <c r="C66" s="627"/>
      <c r="D66" s="627"/>
      <c r="E66" s="627"/>
      <c r="F66" s="627"/>
      <c r="G66" s="627"/>
      <c r="H66" s="627"/>
      <c r="I66" s="627"/>
      <c r="J66" s="627"/>
      <c r="K66" s="627"/>
      <c r="L66" s="627"/>
      <c r="M66" s="627"/>
      <c r="N66" s="627"/>
      <c r="O66" s="627"/>
      <c r="P66" s="627"/>
    </row>
    <row r="67" spans="1:16" x14ac:dyDescent="0.25">
      <c r="A67" s="627"/>
      <c r="B67" s="627"/>
      <c r="C67" s="627"/>
      <c r="D67" s="627"/>
      <c r="E67" s="627"/>
      <c r="F67" s="627"/>
      <c r="G67" s="627"/>
      <c r="H67" s="627"/>
      <c r="I67" s="627"/>
      <c r="J67" s="627"/>
      <c r="K67" s="627"/>
      <c r="L67" s="627"/>
      <c r="M67" s="627"/>
      <c r="N67" s="627"/>
      <c r="O67" s="627"/>
      <c r="P67" s="627"/>
    </row>
    <row r="68" spans="1:16" x14ac:dyDescent="0.25">
      <c r="A68" s="627"/>
      <c r="B68" s="627"/>
      <c r="C68" s="627"/>
      <c r="D68" s="627"/>
      <c r="E68" s="627"/>
      <c r="F68" s="627"/>
      <c r="G68" s="627"/>
      <c r="H68" s="627"/>
      <c r="I68" s="627"/>
      <c r="J68" s="627"/>
      <c r="K68" s="627"/>
      <c r="L68" s="627"/>
      <c r="M68" s="627"/>
      <c r="N68" s="627"/>
      <c r="O68" s="627"/>
      <c r="P68" s="627"/>
    </row>
    <row r="69" spans="1:16" x14ac:dyDescent="0.25">
      <c r="A69" s="627"/>
      <c r="B69" s="627"/>
      <c r="C69" s="627"/>
      <c r="D69" s="627"/>
      <c r="E69" s="627"/>
      <c r="F69" s="627"/>
      <c r="G69" s="627"/>
      <c r="H69" s="627"/>
      <c r="I69" s="627"/>
      <c r="J69" s="627"/>
      <c r="K69" s="627"/>
      <c r="L69" s="627"/>
      <c r="M69" s="627"/>
      <c r="N69" s="627"/>
      <c r="O69" s="627"/>
      <c r="P69" s="627"/>
    </row>
    <row r="70" spans="1:16" x14ac:dyDescent="0.25">
      <c r="A70" s="627"/>
      <c r="B70" s="627"/>
      <c r="C70" s="627"/>
      <c r="D70" s="627"/>
      <c r="E70" s="627"/>
      <c r="F70" s="627"/>
      <c r="G70" s="627"/>
      <c r="H70" s="627"/>
      <c r="I70" s="627"/>
      <c r="J70" s="627"/>
      <c r="K70" s="627"/>
      <c r="L70" s="627"/>
      <c r="M70" s="627"/>
      <c r="N70" s="627"/>
      <c r="O70" s="627"/>
      <c r="P70" s="627"/>
    </row>
    <row r="71" spans="1:16" x14ac:dyDescent="0.25">
      <c r="A71" s="627"/>
      <c r="B71" s="627"/>
      <c r="C71" s="627"/>
      <c r="D71" s="627"/>
      <c r="E71" s="627"/>
      <c r="F71" s="627"/>
      <c r="G71" s="627"/>
      <c r="H71" s="627"/>
      <c r="I71" s="627"/>
      <c r="J71" s="627"/>
      <c r="K71" s="627"/>
      <c r="L71" s="627"/>
      <c r="M71" s="627"/>
      <c r="N71" s="627"/>
      <c r="O71" s="627"/>
      <c r="P71" s="627"/>
    </row>
    <row r="72" spans="1:16" x14ac:dyDescent="0.25">
      <c r="A72" s="627"/>
      <c r="B72" s="627"/>
      <c r="C72" s="627"/>
      <c r="D72" s="627"/>
      <c r="E72" s="627"/>
      <c r="F72" s="627"/>
      <c r="G72" s="627"/>
      <c r="H72" s="627"/>
      <c r="I72" s="627"/>
      <c r="J72" s="627"/>
      <c r="K72" s="627"/>
      <c r="L72" s="627"/>
      <c r="M72" s="627"/>
      <c r="N72" s="627"/>
      <c r="O72" s="627"/>
      <c r="P72" s="627"/>
    </row>
    <row r="73" spans="1:16" x14ac:dyDescent="0.25">
      <c r="A73" s="627"/>
      <c r="B73" s="627"/>
      <c r="C73" s="627"/>
      <c r="D73" s="627"/>
      <c r="E73" s="627"/>
      <c r="F73" s="627"/>
      <c r="G73" s="627"/>
      <c r="H73" s="627"/>
      <c r="I73" s="627"/>
      <c r="J73" s="627"/>
      <c r="K73" s="627"/>
      <c r="L73" s="627"/>
      <c r="M73" s="627"/>
      <c r="N73" s="627"/>
      <c r="O73" s="627"/>
      <c r="P73" s="627"/>
    </row>
    <row r="74" spans="1:16" x14ac:dyDescent="0.25">
      <c r="A74" s="627"/>
      <c r="B74" s="627"/>
      <c r="C74" s="627"/>
      <c r="D74" s="627"/>
      <c r="E74" s="627"/>
      <c r="F74" s="627"/>
      <c r="G74" s="627"/>
      <c r="H74" s="627"/>
      <c r="I74" s="627"/>
      <c r="J74" s="627"/>
      <c r="K74" s="627"/>
      <c r="L74" s="627"/>
      <c r="M74" s="627"/>
      <c r="N74" s="627"/>
      <c r="O74" s="627"/>
      <c r="P74" s="627"/>
    </row>
    <row r="75" spans="1:16" x14ac:dyDescent="0.25">
      <c r="A75" s="627"/>
      <c r="B75" s="627"/>
      <c r="C75" s="627"/>
      <c r="D75" s="627"/>
      <c r="E75" s="627"/>
      <c r="F75" s="627"/>
      <c r="G75" s="627"/>
      <c r="H75" s="627"/>
      <c r="I75" s="627"/>
      <c r="J75" s="627"/>
      <c r="K75" s="627"/>
      <c r="L75" s="627"/>
      <c r="M75" s="627"/>
      <c r="N75" s="627"/>
      <c r="O75" s="627"/>
      <c r="P75" s="627"/>
    </row>
    <row r="76" spans="1:16" x14ac:dyDescent="0.25">
      <c r="A76" s="627"/>
      <c r="B76" s="627"/>
      <c r="C76" s="627"/>
      <c r="D76" s="627"/>
      <c r="E76" s="627"/>
      <c r="F76" s="627"/>
      <c r="G76" s="627"/>
      <c r="H76" s="627"/>
      <c r="I76" s="627"/>
      <c r="J76" s="627"/>
      <c r="K76" s="627"/>
      <c r="L76" s="627"/>
      <c r="M76" s="627"/>
      <c r="N76" s="627"/>
      <c r="O76" s="627"/>
      <c r="P76" s="627"/>
    </row>
    <row r="77" spans="1:16" x14ac:dyDescent="0.25">
      <c r="A77" s="627"/>
      <c r="B77" s="627"/>
      <c r="C77" s="627"/>
      <c r="D77" s="627"/>
      <c r="E77" s="627"/>
      <c r="F77" s="627"/>
      <c r="G77" s="627"/>
      <c r="H77" s="627"/>
      <c r="I77" s="627"/>
      <c r="J77" s="627"/>
      <c r="K77" s="627"/>
      <c r="L77" s="627"/>
      <c r="M77" s="627"/>
      <c r="N77" s="627"/>
      <c r="O77" s="627"/>
      <c r="P77" s="627"/>
    </row>
    <row r="78" spans="1:16" x14ac:dyDescent="0.25">
      <c r="A78" s="627"/>
      <c r="B78" s="627"/>
      <c r="C78" s="627"/>
      <c r="D78" s="627"/>
      <c r="E78" s="627"/>
      <c r="F78" s="627"/>
      <c r="G78" s="627"/>
      <c r="H78" s="627"/>
      <c r="I78" s="627"/>
      <c r="J78" s="627"/>
      <c r="K78" s="627"/>
      <c r="L78" s="627"/>
      <c r="M78" s="627"/>
      <c r="N78" s="627"/>
      <c r="O78" s="627"/>
      <c r="P78" s="627"/>
    </row>
    <row r="79" spans="1:16" x14ac:dyDescent="0.25">
      <c r="A79" s="627"/>
      <c r="B79" s="627"/>
      <c r="C79" s="627"/>
      <c r="D79" s="627"/>
      <c r="E79" s="627"/>
      <c r="F79" s="627"/>
      <c r="G79" s="627"/>
      <c r="H79" s="627"/>
      <c r="I79" s="627"/>
      <c r="J79" s="627"/>
      <c r="K79" s="627"/>
      <c r="L79" s="627"/>
      <c r="M79" s="627"/>
      <c r="N79" s="627"/>
      <c r="O79" s="627"/>
      <c r="P79" s="627"/>
    </row>
    <row r="80" spans="1:16" x14ac:dyDescent="0.25">
      <c r="A80" s="627"/>
      <c r="B80" s="627"/>
      <c r="C80" s="627"/>
      <c r="D80" s="627"/>
      <c r="E80" s="627"/>
      <c r="F80" s="627"/>
      <c r="G80" s="627"/>
      <c r="H80" s="627"/>
      <c r="I80" s="627"/>
      <c r="J80" s="627"/>
      <c r="K80" s="627"/>
      <c r="L80" s="627"/>
      <c r="M80" s="627"/>
      <c r="N80" s="627"/>
      <c r="O80" s="627"/>
      <c r="P80" s="627"/>
    </row>
    <row r="81" spans="1:16" x14ac:dyDescent="0.25">
      <c r="A81" s="627"/>
      <c r="B81" s="627"/>
      <c r="C81" s="627"/>
      <c r="D81" s="627"/>
      <c r="E81" s="627"/>
      <c r="F81" s="627"/>
      <c r="G81" s="627"/>
      <c r="H81" s="627"/>
      <c r="I81" s="627"/>
      <c r="J81" s="627"/>
      <c r="K81" s="627"/>
      <c r="L81" s="627"/>
      <c r="M81" s="627"/>
      <c r="N81" s="627"/>
      <c r="O81" s="627"/>
      <c r="P81" s="627"/>
    </row>
    <row r="82" spans="1:16" x14ac:dyDescent="0.25">
      <c r="A82" s="627"/>
      <c r="B82" s="627"/>
      <c r="C82" s="627"/>
      <c r="D82" s="627"/>
      <c r="E82" s="627"/>
      <c r="F82" s="627"/>
      <c r="G82" s="627"/>
      <c r="H82" s="627"/>
      <c r="I82" s="627"/>
      <c r="J82" s="627"/>
      <c r="K82" s="627"/>
      <c r="L82" s="627"/>
      <c r="M82" s="627"/>
      <c r="N82" s="627"/>
      <c r="O82" s="627"/>
      <c r="P82" s="627"/>
    </row>
    <row r="83" spans="1:16" x14ac:dyDescent="0.25">
      <c r="A83" s="627"/>
      <c r="B83" s="627"/>
      <c r="C83" s="627"/>
      <c r="D83" s="627"/>
      <c r="E83" s="627"/>
      <c r="F83" s="627"/>
      <c r="G83" s="627"/>
      <c r="H83" s="627"/>
      <c r="I83" s="627"/>
      <c r="J83" s="627"/>
      <c r="K83" s="627"/>
      <c r="L83" s="627"/>
      <c r="M83" s="627"/>
      <c r="N83" s="627"/>
      <c r="O83" s="627"/>
      <c r="P83" s="627"/>
    </row>
    <row r="84" spans="1:16" x14ac:dyDescent="0.25">
      <c r="A84" s="627"/>
      <c r="B84" s="627"/>
      <c r="C84" s="627"/>
      <c r="D84" s="627"/>
      <c r="E84" s="627"/>
      <c r="F84" s="627"/>
      <c r="G84" s="627"/>
      <c r="H84" s="627"/>
      <c r="I84" s="627"/>
      <c r="J84" s="627"/>
      <c r="K84" s="627"/>
      <c r="L84" s="627"/>
      <c r="M84" s="627"/>
      <c r="N84" s="627"/>
      <c r="O84" s="627"/>
      <c r="P84" s="627"/>
    </row>
    <row r="85" spans="1:16" x14ac:dyDescent="0.25">
      <c r="A85" s="627"/>
      <c r="B85" s="627"/>
      <c r="C85" s="627"/>
      <c r="D85" s="627"/>
      <c r="E85" s="627"/>
      <c r="F85" s="627"/>
      <c r="G85" s="627"/>
      <c r="H85" s="627"/>
      <c r="I85" s="627"/>
      <c r="J85" s="627"/>
      <c r="K85" s="627"/>
      <c r="L85" s="627"/>
      <c r="M85" s="627"/>
      <c r="N85" s="627"/>
      <c r="O85" s="627"/>
      <c r="P85" s="627"/>
    </row>
    <row r="86" spans="1:16" x14ac:dyDescent="0.25">
      <c r="A86" s="627"/>
      <c r="B86" s="627"/>
      <c r="C86" s="627"/>
      <c r="D86" s="627"/>
      <c r="E86" s="627"/>
      <c r="F86" s="627"/>
      <c r="G86" s="627"/>
      <c r="H86" s="627"/>
      <c r="I86" s="627"/>
      <c r="J86" s="627"/>
      <c r="K86" s="627"/>
      <c r="L86" s="627"/>
      <c r="M86" s="627"/>
      <c r="N86" s="627"/>
      <c r="O86" s="627"/>
      <c r="P86" s="627"/>
    </row>
    <row r="87" spans="1:16" x14ac:dyDescent="0.25">
      <c r="A87" s="627"/>
      <c r="B87" s="627"/>
      <c r="C87" s="627"/>
      <c r="D87" s="627"/>
      <c r="E87" s="627"/>
      <c r="F87" s="627"/>
      <c r="G87" s="627"/>
      <c r="H87" s="627"/>
      <c r="I87" s="627"/>
      <c r="J87" s="627"/>
      <c r="K87" s="627"/>
      <c r="L87" s="627"/>
      <c r="M87" s="627"/>
      <c r="N87" s="627"/>
      <c r="O87" s="627"/>
      <c r="P87" s="627"/>
    </row>
    <row r="88" spans="1:16" x14ac:dyDescent="0.25">
      <c r="A88" s="627"/>
      <c r="B88" s="627"/>
      <c r="C88" s="627"/>
      <c r="D88" s="627"/>
      <c r="E88" s="627"/>
      <c r="F88" s="627"/>
      <c r="G88" s="627"/>
      <c r="H88" s="627"/>
      <c r="I88" s="627"/>
      <c r="J88" s="627"/>
      <c r="K88" s="627"/>
      <c r="L88" s="627"/>
      <c r="M88" s="627"/>
      <c r="N88" s="627"/>
      <c r="O88" s="627"/>
      <c r="P88" s="627"/>
    </row>
    <row r="89" spans="1:16" x14ac:dyDescent="0.25">
      <c r="A89" s="627"/>
      <c r="B89" s="627"/>
      <c r="C89" s="627"/>
      <c r="D89" s="627"/>
      <c r="E89" s="627"/>
      <c r="F89" s="627"/>
      <c r="G89" s="627"/>
      <c r="H89" s="627"/>
      <c r="I89" s="627"/>
      <c r="J89" s="627"/>
      <c r="K89" s="627"/>
      <c r="L89" s="627"/>
      <c r="M89" s="627"/>
      <c r="N89" s="627"/>
      <c r="O89" s="627"/>
      <c r="P89" s="627"/>
    </row>
    <row r="90" spans="1:16" x14ac:dyDescent="0.25">
      <c r="A90" s="627"/>
      <c r="B90" s="627"/>
      <c r="C90" s="627"/>
      <c r="D90" s="627"/>
      <c r="E90" s="627"/>
      <c r="F90" s="627"/>
      <c r="G90" s="627"/>
      <c r="H90" s="627"/>
      <c r="I90" s="627"/>
      <c r="J90" s="627"/>
      <c r="K90" s="627"/>
      <c r="L90" s="627"/>
      <c r="M90" s="627"/>
      <c r="N90" s="627"/>
      <c r="O90" s="627"/>
      <c r="P90" s="627"/>
    </row>
    <row r="91" spans="1:16" x14ac:dyDescent="0.25">
      <c r="A91" s="627"/>
      <c r="B91" s="627"/>
      <c r="C91" s="627"/>
      <c r="D91" s="627"/>
      <c r="E91" s="627"/>
      <c r="F91" s="627"/>
      <c r="G91" s="627"/>
      <c r="H91" s="627"/>
      <c r="I91" s="627"/>
      <c r="J91" s="627"/>
      <c r="K91" s="627"/>
      <c r="L91" s="627"/>
      <c r="M91" s="627"/>
      <c r="N91" s="627"/>
      <c r="O91" s="627"/>
      <c r="P91" s="627"/>
    </row>
    <row r="92" spans="1:16" x14ac:dyDescent="0.25">
      <c r="A92" s="627"/>
      <c r="B92" s="627"/>
      <c r="C92" s="627"/>
      <c r="D92" s="627"/>
      <c r="E92" s="627"/>
      <c r="F92" s="627"/>
      <c r="G92" s="627"/>
      <c r="H92" s="627"/>
      <c r="I92" s="627"/>
      <c r="J92" s="627"/>
      <c r="K92" s="627"/>
      <c r="L92" s="627"/>
      <c r="M92" s="627"/>
      <c r="N92" s="627"/>
      <c r="O92" s="627"/>
      <c r="P92" s="627"/>
    </row>
    <row r="93" spans="1:16" x14ac:dyDescent="0.25">
      <c r="A93" s="627"/>
      <c r="B93" s="627"/>
      <c r="C93" s="627"/>
      <c r="D93" s="627"/>
      <c r="E93" s="627"/>
      <c r="F93" s="627"/>
      <c r="G93" s="627"/>
      <c r="H93" s="627"/>
      <c r="I93" s="627"/>
      <c r="J93" s="627"/>
      <c r="K93" s="627"/>
      <c r="L93" s="627"/>
      <c r="M93" s="627"/>
      <c r="N93" s="627"/>
      <c r="O93" s="627"/>
      <c r="P93" s="627"/>
    </row>
    <row r="94" spans="1:16" x14ac:dyDescent="0.25">
      <c r="A94" s="627"/>
      <c r="B94" s="627"/>
      <c r="C94" s="627"/>
      <c r="D94" s="627"/>
      <c r="E94" s="627"/>
      <c r="F94" s="627"/>
      <c r="G94" s="627"/>
      <c r="H94" s="627"/>
      <c r="I94" s="627"/>
      <c r="J94" s="627"/>
      <c r="K94" s="627"/>
      <c r="L94" s="627"/>
      <c r="M94" s="627"/>
      <c r="N94" s="627"/>
      <c r="O94" s="627"/>
      <c r="P94" s="627"/>
    </row>
    <row r="95" spans="1:16" x14ac:dyDescent="0.25">
      <c r="A95" s="627"/>
      <c r="B95" s="627"/>
      <c r="C95" s="627"/>
      <c r="D95" s="627"/>
      <c r="E95" s="627"/>
      <c r="F95" s="627"/>
      <c r="G95" s="627"/>
      <c r="H95" s="627"/>
      <c r="I95" s="627"/>
      <c r="J95" s="627"/>
      <c r="K95" s="627"/>
      <c r="L95" s="627"/>
      <c r="M95" s="627"/>
      <c r="N95" s="627"/>
      <c r="O95" s="627"/>
      <c r="P95" s="627"/>
    </row>
    <row r="96" spans="1:16" x14ac:dyDescent="0.25">
      <c r="A96" s="627"/>
      <c r="B96" s="627"/>
      <c r="C96" s="627"/>
      <c r="D96" s="627"/>
      <c r="E96" s="627"/>
      <c r="F96" s="627"/>
      <c r="G96" s="627"/>
      <c r="H96" s="627"/>
      <c r="I96" s="627"/>
      <c r="J96" s="627"/>
      <c r="K96" s="627"/>
      <c r="L96" s="627"/>
      <c r="M96" s="627"/>
      <c r="N96" s="627"/>
      <c r="O96" s="627"/>
      <c r="P96" s="627"/>
    </row>
    <row r="97" spans="1:16" x14ac:dyDescent="0.25">
      <c r="A97" s="627"/>
      <c r="B97" s="627"/>
      <c r="C97" s="627"/>
      <c r="D97" s="627"/>
      <c r="E97" s="627"/>
      <c r="F97" s="627"/>
      <c r="G97" s="627"/>
      <c r="H97" s="627"/>
      <c r="I97" s="627"/>
      <c r="J97" s="627"/>
      <c r="K97" s="627"/>
      <c r="L97" s="627"/>
      <c r="M97" s="627"/>
      <c r="N97" s="627"/>
      <c r="O97" s="627"/>
      <c r="P97" s="627"/>
    </row>
    <row r="98" spans="1:16" x14ac:dyDescent="0.25">
      <c r="A98" s="627"/>
      <c r="B98" s="627"/>
      <c r="C98" s="627"/>
      <c r="D98" s="627"/>
      <c r="E98" s="627"/>
      <c r="F98" s="627"/>
      <c r="G98" s="627"/>
      <c r="H98" s="627"/>
      <c r="I98" s="627"/>
      <c r="J98" s="627"/>
      <c r="K98" s="627"/>
      <c r="L98" s="627"/>
      <c r="M98" s="627"/>
      <c r="N98" s="627"/>
      <c r="O98" s="627"/>
      <c r="P98" s="627"/>
    </row>
    <row r="99" spans="1:16" x14ac:dyDescent="0.25">
      <c r="A99" s="627"/>
      <c r="B99" s="627"/>
      <c r="C99" s="627"/>
      <c r="D99" s="627"/>
      <c r="E99" s="627"/>
      <c r="F99" s="627"/>
      <c r="G99" s="627"/>
      <c r="H99" s="627"/>
      <c r="I99" s="627"/>
      <c r="J99" s="627"/>
      <c r="K99" s="627"/>
      <c r="L99" s="627"/>
      <c r="M99" s="627"/>
      <c r="N99" s="627"/>
      <c r="O99" s="627"/>
      <c r="P99" s="627"/>
    </row>
    <row r="100" spans="1:16" x14ac:dyDescent="0.25">
      <c r="A100" s="627"/>
      <c r="B100" s="627"/>
      <c r="C100" s="627"/>
      <c r="D100" s="627"/>
      <c r="E100" s="627"/>
      <c r="F100" s="627"/>
      <c r="G100" s="627"/>
      <c r="H100" s="627"/>
      <c r="I100" s="627"/>
      <c r="J100" s="627"/>
      <c r="K100" s="627"/>
      <c r="L100" s="627"/>
      <c r="M100" s="627"/>
      <c r="N100" s="627"/>
      <c r="O100" s="627"/>
      <c r="P100" s="627"/>
    </row>
    <row r="101" spans="1:16" x14ac:dyDescent="0.25">
      <c r="A101" s="627"/>
      <c r="B101" s="627"/>
      <c r="C101" s="627"/>
      <c r="D101" s="627"/>
      <c r="E101" s="627"/>
      <c r="F101" s="627"/>
      <c r="G101" s="627"/>
      <c r="H101" s="627"/>
      <c r="I101" s="627"/>
      <c r="J101" s="627"/>
      <c r="K101" s="627"/>
      <c r="L101" s="627"/>
      <c r="M101" s="627"/>
      <c r="N101" s="627"/>
      <c r="O101" s="627"/>
      <c r="P101" s="627"/>
    </row>
  </sheetData>
  <mergeCells count="1">
    <mergeCell ref="A2:P10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04"/>
  <sheetViews>
    <sheetView topLeftCell="AA1" zoomScale="96" zoomScaleNormal="96" workbookViewId="0">
      <selection activeCell="AV3" sqref="AV3:AW8"/>
    </sheetView>
  </sheetViews>
  <sheetFormatPr baseColWidth="10" defaultRowHeight="15" x14ac:dyDescent="0.25"/>
  <cols>
    <col min="2" max="2" width="11.42578125" customWidth="1"/>
    <col min="3" max="3" width="43.85546875" customWidth="1"/>
    <col min="4" max="4" width="66.140625" customWidth="1"/>
    <col min="6" max="6" width="89.140625" customWidth="1"/>
    <col min="7" max="7" width="30.5703125" bestFit="1" customWidth="1"/>
    <col min="8" max="8" width="51.28515625" customWidth="1"/>
    <col min="9" max="9" width="17.140625" customWidth="1"/>
    <col min="10" max="10" width="58.85546875" customWidth="1"/>
    <col min="12" max="12" width="16.5703125" customWidth="1"/>
    <col min="13" max="14" width="18.28515625" customWidth="1"/>
    <col min="15" max="15" width="15.7109375" customWidth="1"/>
    <col min="16" max="17" width="17.42578125" customWidth="1"/>
    <col min="19" max="19" width="41.42578125" customWidth="1"/>
    <col min="20" max="20" width="35.85546875" customWidth="1"/>
    <col min="21" max="21" width="35.28515625" customWidth="1"/>
    <col min="22" max="22" width="25" customWidth="1"/>
    <col min="23" max="23" width="18.140625" customWidth="1"/>
    <col min="24" max="24" width="17.5703125" customWidth="1"/>
    <col min="28" max="28" width="22.85546875" customWidth="1"/>
    <col min="29" max="29" width="16.7109375" customWidth="1"/>
    <col min="30" max="30" width="14.28515625" customWidth="1"/>
    <col min="31" max="31" width="11.42578125" customWidth="1"/>
    <col min="32" max="32" width="31.7109375" customWidth="1"/>
    <col min="33" max="33" width="11.42578125" customWidth="1"/>
    <col min="40" max="40" width="20.7109375" customWidth="1"/>
    <col min="48" max="48" width="24.140625" customWidth="1"/>
    <col min="49" max="49" width="20.85546875" customWidth="1"/>
  </cols>
  <sheetData>
    <row r="1" spans="1:49" x14ac:dyDescent="0.25">
      <c r="A1" s="57"/>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row>
    <row r="2" spans="1:49" ht="63" customHeight="1" x14ac:dyDescent="0.25">
      <c r="A2" s="57"/>
      <c r="B2" s="246" t="s">
        <v>266</v>
      </c>
      <c r="C2" s="246" t="s">
        <v>267</v>
      </c>
      <c r="D2" s="246" t="s">
        <v>268</v>
      </c>
      <c r="E2" s="246"/>
      <c r="F2" s="246" t="s">
        <v>306</v>
      </c>
      <c r="G2" s="57" t="s">
        <v>395</v>
      </c>
      <c r="H2" s="57" t="s">
        <v>267</v>
      </c>
      <c r="I2" s="57" t="s">
        <v>449</v>
      </c>
      <c r="J2" s="57" t="s">
        <v>411</v>
      </c>
      <c r="K2" s="57"/>
      <c r="L2" s="109" t="s">
        <v>422</v>
      </c>
      <c r="M2" s="110" t="s">
        <v>424</v>
      </c>
      <c r="N2" s="110" t="s">
        <v>443</v>
      </c>
      <c r="O2" s="110" t="s">
        <v>423</v>
      </c>
      <c r="P2" s="110" t="s">
        <v>424</v>
      </c>
      <c r="Q2" s="110" t="s">
        <v>444</v>
      </c>
      <c r="R2" s="57"/>
      <c r="S2" s="130" t="s">
        <v>690</v>
      </c>
      <c r="T2" s="130" t="s">
        <v>453</v>
      </c>
      <c r="U2" s="130" t="s">
        <v>469</v>
      </c>
      <c r="V2" s="130" t="s">
        <v>470</v>
      </c>
      <c r="W2" s="130" t="s">
        <v>479</v>
      </c>
      <c r="X2" s="130" t="s">
        <v>521</v>
      </c>
      <c r="Z2" s="2"/>
      <c r="AA2" s="1"/>
      <c r="AB2" s="629" t="s">
        <v>71</v>
      </c>
      <c r="AC2" s="629" t="s">
        <v>483</v>
      </c>
      <c r="AD2" s="629"/>
      <c r="AE2" s="57"/>
      <c r="AF2" s="188" t="s">
        <v>511</v>
      </c>
      <c r="AG2" s="57"/>
      <c r="AH2" s="628" t="s">
        <v>670</v>
      </c>
      <c r="AI2" s="628"/>
      <c r="AJ2" s="628"/>
      <c r="AK2" s="628"/>
      <c r="AL2" s="628"/>
      <c r="AM2" s="628"/>
      <c r="AN2" s="628"/>
      <c r="AO2" s="628" t="s">
        <v>603</v>
      </c>
      <c r="AP2" s="628"/>
      <c r="AQ2" s="628"/>
      <c r="AR2" s="628"/>
      <c r="AS2" s="628"/>
      <c r="AT2" s="628"/>
      <c r="AV2" s="312" t="s">
        <v>71</v>
      </c>
      <c r="AW2" s="312" t="s">
        <v>72</v>
      </c>
    </row>
    <row r="3" spans="1:49" ht="48" customHeight="1" x14ac:dyDescent="0.25">
      <c r="A3" s="57"/>
      <c r="B3" s="57">
        <v>100000</v>
      </c>
      <c r="C3" s="57" t="s">
        <v>269</v>
      </c>
      <c r="D3" s="57" t="s">
        <v>91</v>
      </c>
      <c r="E3" s="57"/>
      <c r="F3" s="57" t="s">
        <v>332</v>
      </c>
      <c r="G3" s="57" t="s">
        <v>341</v>
      </c>
      <c r="H3" s="57" t="s">
        <v>95</v>
      </c>
      <c r="I3" s="57"/>
      <c r="J3" s="89" t="s">
        <v>428</v>
      </c>
      <c r="K3" s="86"/>
      <c r="L3" s="101">
        <v>5</v>
      </c>
      <c r="M3" s="103" t="s">
        <v>260</v>
      </c>
      <c r="N3" s="120">
        <v>0.3</v>
      </c>
      <c r="O3" s="102">
        <v>4</v>
      </c>
      <c r="P3" s="103" t="s">
        <v>260</v>
      </c>
      <c r="Q3" s="120">
        <v>0.3</v>
      </c>
      <c r="R3" s="57"/>
      <c r="S3" s="141" t="s">
        <v>770</v>
      </c>
      <c r="T3" s="135" t="s">
        <v>224</v>
      </c>
      <c r="U3" s="144" t="s">
        <v>458</v>
      </c>
      <c r="V3" s="147" t="s">
        <v>522</v>
      </c>
      <c r="W3" s="148" t="s">
        <v>74</v>
      </c>
      <c r="X3" s="192">
        <v>0</v>
      </c>
      <c r="Z3" s="2"/>
      <c r="AA3" s="1"/>
      <c r="AB3" s="629"/>
      <c r="AC3" s="154" t="s">
        <v>484</v>
      </c>
      <c r="AD3" s="154" t="s">
        <v>485</v>
      </c>
      <c r="AF3" s="189" t="s">
        <v>224</v>
      </c>
      <c r="AG3" s="57"/>
      <c r="AH3" s="243" t="s">
        <v>579</v>
      </c>
      <c r="AO3" s="243" t="s">
        <v>579</v>
      </c>
      <c r="AV3" s="313" t="s">
        <v>740</v>
      </c>
      <c r="AW3" s="313">
        <v>1</v>
      </c>
    </row>
    <row r="4" spans="1:49" ht="47.25" customHeight="1" x14ac:dyDescent="0.25">
      <c r="A4" s="57"/>
      <c r="B4" s="57">
        <v>110000</v>
      </c>
      <c r="C4" s="57" t="s">
        <v>270</v>
      </c>
      <c r="D4" s="57" t="s">
        <v>92</v>
      </c>
      <c r="E4" s="57"/>
      <c r="F4" s="57" t="s">
        <v>333</v>
      </c>
      <c r="G4" s="57" t="s">
        <v>341</v>
      </c>
      <c r="H4" s="57" t="s">
        <v>104</v>
      </c>
      <c r="I4" s="57"/>
      <c r="J4" s="89" t="s">
        <v>571</v>
      </c>
      <c r="K4" s="86"/>
      <c r="L4">
        <v>6</v>
      </c>
      <c r="M4" s="103" t="s">
        <v>260</v>
      </c>
      <c r="N4" s="120">
        <v>0.3</v>
      </c>
      <c r="O4">
        <v>5</v>
      </c>
      <c r="P4" s="103" t="s">
        <v>260</v>
      </c>
      <c r="Q4" s="120">
        <v>0.3</v>
      </c>
      <c r="R4" s="57"/>
      <c r="S4" s="141" t="s">
        <v>771</v>
      </c>
      <c r="T4" s="137" t="s">
        <v>223</v>
      </c>
      <c r="U4" s="144" t="s">
        <v>459</v>
      </c>
      <c r="V4" s="147" t="s">
        <v>471</v>
      </c>
      <c r="W4" s="148" t="s">
        <v>77</v>
      </c>
      <c r="X4" s="192">
        <v>0.05</v>
      </c>
      <c r="Z4" s="2"/>
      <c r="AA4" s="1"/>
      <c r="AB4" s="152" t="s">
        <v>524</v>
      </c>
      <c r="AC4" s="155">
        <v>0.75</v>
      </c>
      <c r="AD4" s="155">
        <v>1</v>
      </c>
      <c r="AE4" s="57"/>
      <c r="AF4" s="189" t="s">
        <v>223</v>
      </c>
      <c r="AG4" s="57"/>
      <c r="AH4" s="244" t="s">
        <v>615</v>
      </c>
      <c r="AI4" s="243" t="s">
        <v>224</v>
      </c>
      <c r="AL4" s="245"/>
      <c r="AM4" s="243"/>
      <c r="AO4" s="244">
        <v>41</v>
      </c>
      <c r="AP4" s="243" t="s">
        <v>224</v>
      </c>
      <c r="AV4" s="313" t="s">
        <v>741</v>
      </c>
      <c r="AW4" s="313">
        <v>0.75</v>
      </c>
    </row>
    <row r="5" spans="1:49" ht="64.5" customHeight="1" x14ac:dyDescent="0.25">
      <c r="A5" s="57"/>
      <c r="B5" s="57">
        <v>12000</v>
      </c>
      <c r="C5" s="57" t="s">
        <v>271</v>
      </c>
      <c r="D5" s="57" t="s">
        <v>93</v>
      </c>
      <c r="E5" s="57"/>
      <c r="F5" s="57" t="s">
        <v>129</v>
      </c>
      <c r="G5" s="57" t="s">
        <v>451</v>
      </c>
      <c r="H5" s="57" t="s">
        <v>92</v>
      </c>
      <c r="I5" s="127" t="s">
        <v>450</v>
      </c>
      <c r="J5" s="89" t="s">
        <v>429</v>
      </c>
      <c r="K5" s="57"/>
      <c r="L5" s="101">
        <v>7</v>
      </c>
      <c r="M5" s="103" t="s">
        <v>260</v>
      </c>
      <c r="N5" s="120">
        <v>0.3</v>
      </c>
      <c r="O5" s="102">
        <v>6</v>
      </c>
      <c r="P5" s="103" t="s">
        <v>260</v>
      </c>
      <c r="Q5" s="120">
        <v>0.3</v>
      </c>
      <c r="R5" s="57"/>
      <c r="S5" s="141" t="s">
        <v>772</v>
      </c>
      <c r="T5" s="135" t="s">
        <v>316</v>
      </c>
      <c r="U5" s="144" t="s">
        <v>465</v>
      </c>
      <c r="V5" s="147" t="s">
        <v>472</v>
      </c>
      <c r="W5" s="148" t="s">
        <v>81</v>
      </c>
      <c r="X5" s="192">
        <v>0.1</v>
      </c>
      <c r="Y5" s="1"/>
      <c r="Z5" s="2"/>
      <c r="AA5" s="1"/>
      <c r="AB5" s="153" t="s">
        <v>263</v>
      </c>
      <c r="AC5" s="155">
        <v>0.65</v>
      </c>
      <c r="AD5" s="155">
        <v>0.75</v>
      </c>
      <c r="AE5" s="57"/>
      <c r="AF5" s="189" t="s">
        <v>316</v>
      </c>
      <c r="AG5" s="57"/>
      <c r="AH5" s="244" t="s">
        <v>613</v>
      </c>
      <c r="AI5" s="243" t="s">
        <v>604</v>
      </c>
      <c r="AL5" s="244"/>
      <c r="AM5" s="243"/>
      <c r="AO5" s="244">
        <v>410</v>
      </c>
      <c r="AP5" s="243" t="s">
        <v>604</v>
      </c>
      <c r="AV5" s="313" t="s">
        <v>743</v>
      </c>
      <c r="AW5" s="313">
        <v>0</v>
      </c>
    </row>
    <row r="6" spans="1:49" ht="45" customHeight="1" x14ac:dyDescent="0.25">
      <c r="A6" s="57"/>
      <c r="B6" s="57">
        <v>120000</v>
      </c>
      <c r="C6" s="57" t="s">
        <v>272</v>
      </c>
      <c r="D6" s="57" t="s">
        <v>94</v>
      </c>
      <c r="E6" s="57"/>
      <c r="F6" s="57" t="s">
        <v>334</v>
      </c>
      <c r="G6" s="57" t="s">
        <v>330</v>
      </c>
      <c r="H6" s="57" t="s">
        <v>92</v>
      </c>
      <c r="I6" s="127" t="s">
        <v>450</v>
      </c>
      <c r="J6" s="57"/>
      <c r="K6" s="57"/>
      <c r="L6">
        <v>8</v>
      </c>
      <c r="M6" s="103" t="s">
        <v>260</v>
      </c>
      <c r="N6" s="120">
        <v>0.3</v>
      </c>
      <c r="O6" s="105">
        <v>7</v>
      </c>
      <c r="P6" s="103" t="s">
        <v>260</v>
      </c>
      <c r="Q6" s="120">
        <v>0.3</v>
      </c>
      <c r="R6" s="57"/>
      <c r="S6" s="141" t="s">
        <v>773</v>
      </c>
      <c r="T6" s="135" t="s">
        <v>609</v>
      </c>
      <c r="U6" s="145" t="s">
        <v>460</v>
      </c>
      <c r="V6" s="147" t="s">
        <v>473</v>
      </c>
      <c r="W6" s="148" t="s">
        <v>64</v>
      </c>
      <c r="X6" s="192">
        <v>0.15</v>
      </c>
      <c r="Y6" s="1"/>
      <c r="Z6" s="2"/>
      <c r="AA6" s="1"/>
      <c r="AB6" s="152" t="s">
        <v>525</v>
      </c>
      <c r="AC6" s="155">
        <v>0</v>
      </c>
      <c r="AD6" s="155">
        <v>0.65</v>
      </c>
      <c r="AE6" s="57"/>
      <c r="AF6" s="189" t="s">
        <v>512</v>
      </c>
      <c r="AG6" s="57"/>
      <c r="AH6" s="244" t="s">
        <v>614</v>
      </c>
      <c r="AI6" t="s">
        <v>605</v>
      </c>
      <c r="AL6" s="244"/>
      <c r="AM6" s="243"/>
      <c r="AO6" s="244">
        <v>41002</v>
      </c>
      <c r="AP6" t="s">
        <v>605</v>
      </c>
      <c r="AV6" s="313" t="s">
        <v>750</v>
      </c>
      <c r="AW6" s="313">
        <v>0</v>
      </c>
    </row>
    <row r="7" spans="1:49" ht="50.25" customHeight="1" x14ac:dyDescent="0.25">
      <c r="A7" s="57"/>
      <c r="B7" s="57">
        <v>12101</v>
      </c>
      <c r="C7" s="57" t="s">
        <v>273</v>
      </c>
      <c r="D7" s="57" t="s">
        <v>95</v>
      </c>
      <c r="E7" s="57"/>
      <c r="F7" s="57" t="s">
        <v>335</v>
      </c>
      <c r="G7" s="57" t="s">
        <v>330</v>
      </c>
      <c r="H7" s="57" t="s">
        <v>92</v>
      </c>
      <c r="I7" s="127" t="s">
        <v>450</v>
      </c>
      <c r="J7" s="57"/>
      <c r="K7" s="57"/>
      <c r="L7" s="101">
        <v>9</v>
      </c>
      <c r="M7" s="103" t="s">
        <v>260</v>
      </c>
      <c r="N7" s="120">
        <v>0.3</v>
      </c>
      <c r="O7" s="102">
        <v>8</v>
      </c>
      <c r="P7" s="106" t="s">
        <v>261</v>
      </c>
      <c r="Q7" s="120">
        <v>0.25</v>
      </c>
      <c r="R7" s="57"/>
      <c r="S7" s="141" t="s">
        <v>67</v>
      </c>
      <c r="T7" s="135" t="s">
        <v>610</v>
      </c>
      <c r="U7" s="145" t="s">
        <v>78</v>
      </c>
      <c r="V7" s="147" t="s">
        <v>474</v>
      </c>
      <c r="W7" s="148" t="s">
        <v>85</v>
      </c>
      <c r="X7" s="192">
        <v>0.15</v>
      </c>
      <c r="Y7" s="1"/>
      <c r="Z7" s="2"/>
      <c r="AA7" s="1"/>
      <c r="AB7" s="152" t="s">
        <v>526</v>
      </c>
      <c r="AC7" s="424" t="s">
        <v>527</v>
      </c>
      <c r="AD7" s="424"/>
      <c r="AE7" s="57"/>
      <c r="AF7" s="58" t="s">
        <v>513</v>
      </c>
      <c r="AG7" s="57"/>
      <c r="AH7" s="249" t="s">
        <v>616</v>
      </c>
      <c r="AI7" t="s">
        <v>606</v>
      </c>
      <c r="AL7" s="244"/>
      <c r="AO7" s="249">
        <v>41003</v>
      </c>
      <c r="AP7" t="s">
        <v>606</v>
      </c>
      <c r="AV7" s="313" t="s">
        <v>754</v>
      </c>
      <c r="AW7" s="313">
        <v>0</v>
      </c>
    </row>
    <row r="8" spans="1:49" ht="48" customHeight="1" x14ac:dyDescent="0.25">
      <c r="A8" s="57"/>
      <c r="B8" s="57">
        <v>12102</v>
      </c>
      <c r="C8" s="57" t="s">
        <v>274</v>
      </c>
      <c r="D8" s="57" t="s">
        <v>96</v>
      </c>
      <c r="E8" s="57"/>
      <c r="F8" s="57" t="s">
        <v>336</v>
      </c>
      <c r="G8" s="57" t="s">
        <v>330</v>
      </c>
      <c r="H8" s="57" t="s">
        <v>92</v>
      </c>
      <c r="I8" s="57"/>
      <c r="J8" s="57"/>
      <c r="K8" s="57"/>
      <c r="L8" s="104">
        <v>10</v>
      </c>
      <c r="M8" s="106" t="s">
        <v>261</v>
      </c>
      <c r="N8" s="120">
        <v>0.25</v>
      </c>
      <c r="O8" s="105">
        <v>9</v>
      </c>
      <c r="P8" s="106" t="s">
        <v>261</v>
      </c>
      <c r="Q8" s="120">
        <v>0.25</v>
      </c>
      <c r="R8" s="57"/>
      <c r="S8" s="141" t="s">
        <v>84</v>
      </c>
      <c r="T8" s="135" t="s">
        <v>608</v>
      </c>
      <c r="U8" s="144" t="s">
        <v>63</v>
      </c>
      <c r="V8" s="147" t="s">
        <v>475</v>
      </c>
      <c r="W8" s="148" t="s">
        <v>86</v>
      </c>
      <c r="X8" s="192">
        <v>0.15</v>
      </c>
      <c r="Y8" s="1"/>
      <c r="Z8" s="2"/>
      <c r="AA8" s="1"/>
      <c r="AB8" s="1"/>
      <c r="AC8" s="1"/>
      <c r="AD8" s="1"/>
      <c r="AE8" s="57"/>
      <c r="AF8" s="58" t="s">
        <v>317</v>
      </c>
      <c r="AG8" s="57"/>
      <c r="AH8" s="245" t="s">
        <v>617</v>
      </c>
      <c r="AI8" s="243" t="s">
        <v>580</v>
      </c>
      <c r="AL8" s="244"/>
      <c r="AO8" s="245">
        <v>411</v>
      </c>
      <c r="AP8" s="243" t="s">
        <v>580</v>
      </c>
      <c r="AV8" s="313" t="s">
        <v>526</v>
      </c>
      <c r="AW8" s="313">
        <v>0</v>
      </c>
    </row>
    <row r="9" spans="1:49" ht="59.25" customHeight="1" x14ac:dyDescent="0.25">
      <c r="A9" s="57"/>
      <c r="B9" s="57">
        <v>12103</v>
      </c>
      <c r="C9" s="57" t="s">
        <v>275</v>
      </c>
      <c r="D9" s="57" t="s">
        <v>97</v>
      </c>
      <c r="E9" s="57"/>
      <c r="F9" s="57" t="s">
        <v>337</v>
      </c>
      <c r="G9" s="57" t="s">
        <v>341</v>
      </c>
      <c r="H9" s="57" t="s">
        <v>105</v>
      </c>
      <c r="I9" s="57"/>
      <c r="J9" s="57"/>
      <c r="K9" s="57"/>
      <c r="L9" s="101">
        <v>11</v>
      </c>
      <c r="M9" s="106" t="s">
        <v>261</v>
      </c>
      <c r="N9" s="120">
        <v>0.25</v>
      </c>
      <c r="O9" s="102">
        <v>10</v>
      </c>
      <c r="P9" s="106" t="s">
        <v>261</v>
      </c>
      <c r="Q9" s="120">
        <v>0.25</v>
      </c>
      <c r="R9" s="57"/>
      <c r="S9" s="141" t="s">
        <v>767</v>
      </c>
      <c r="T9" s="135" t="s">
        <v>513</v>
      </c>
      <c r="U9" s="146" t="s">
        <v>68</v>
      </c>
      <c r="V9" s="147" t="s">
        <v>476</v>
      </c>
      <c r="W9" s="148" t="s">
        <v>87</v>
      </c>
      <c r="X9" s="192">
        <v>0.15</v>
      </c>
      <c r="Y9" s="1"/>
      <c r="Z9" s="2"/>
      <c r="AA9" s="1"/>
      <c r="AB9" s="1"/>
      <c r="AC9" s="1"/>
      <c r="AD9" s="1"/>
      <c r="AE9" s="57"/>
      <c r="AF9" s="57"/>
      <c r="AG9" s="57"/>
      <c r="AH9" s="245" t="s">
        <v>618</v>
      </c>
      <c r="AI9" t="s">
        <v>581</v>
      </c>
      <c r="AO9" s="245">
        <v>41101</v>
      </c>
      <c r="AP9" t="s">
        <v>581</v>
      </c>
    </row>
    <row r="10" spans="1:49" ht="58.5" customHeight="1" x14ac:dyDescent="0.25">
      <c r="A10" s="57"/>
      <c r="B10" s="57">
        <v>12104</v>
      </c>
      <c r="C10" s="57" t="s">
        <v>276</v>
      </c>
      <c r="D10" s="57" t="s">
        <v>98</v>
      </c>
      <c r="E10" s="57"/>
      <c r="F10" s="57" t="s">
        <v>338</v>
      </c>
      <c r="G10" s="57" t="s">
        <v>330</v>
      </c>
      <c r="H10" s="57" t="s">
        <v>92</v>
      </c>
      <c r="I10" s="127" t="s">
        <v>450</v>
      </c>
      <c r="J10" s="57"/>
      <c r="K10" s="57"/>
      <c r="L10" s="104">
        <v>12</v>
      </c>
      <c r="M10" s="106" t="s">
        <v>261</v>
      </c>
      <c r="N10" s="120">
        <v>0.25</v>
      </c>
      <c r="O10" s="105">
        <v>11</v>
      </c>
      <c r="P10" s="106" t="s">
        <v>261</v>
      </c>
      <c r="Q10" s="120">
        <v>0.25</v>
      </c>
      <c r="R10" s="57"/>
      <c r="S10" s="141" t="s">
        <v>768</v>
      </c>
      <c r="T10" s="135" t="s">
        <v>317</v>
      </c>
      <c r="U10" s="145" t="s">
        <v>65</v>
      </c>
      <c r="V10" s="147" t="s">
        <v>477</v>
      </c>
      <c r="W10" s="148" t="s">
        <v>66</v>
      </c>
      <c r="X10" s="192">
        <v>0.15</v>
      </c>
      <c r="Y10" s="1"/>
      <c r="Z10" s="2"/>
      <c r="AA10" s="1"/>
      <c r="AB10" s="1"/>
      <c r="AC10" s="1"/>
      <c r="AD10" s="1"/>
      <c r="AE10" s="57"/>
      <c r="AF10" s="57"/>
      <c r="AG10" s="57"/>
      <c r="AH10" s="245" t="s">
        <v>619</v>
      </c>
      <c r="AI10" t="s">
        <v>582</v>
      </c>
      <c r="AO10" s="245">
        <v>41102</v>
      </c>
      <c r="AP10" t="s">
        <v>582</v>
      </c>
    </row>
    <row r="11" spans="1:49" ht="48.75" customHeight="1" x14ac:dyDescent="0.25">
      <c r="A11" s="57"/>
      <c r="B11" s="57">
        <v>12105</v>
      </c>
      <c r="C11" s="57" t="s">
        <v>277</v>
      </c>
      <c r="D11" s="57" t="s">
        <v>99</v>
      </c>
      <c r="E11" s="57"/>
      <c r="F11" s="57" t="s">
        <v>339</v>
      </c>
      <c r="G11" s="57" t="s">
        <v>330</v>
      </c>
      <c r="H11" s="57" t="s">
        <v>117</v>
      </c>
      <c r="I11" s="127"/>
      <c r="J11" s="57"/>
      <c r="K11" s="57"/>
      <c r="L11" s="101">
        <v>13</v>
      </c>
      <c r="M11" s="106" t="s">
        <v>261</v>
      </c>
      <c r="N11" s="120">
        <v>0.25</v>
      </c>
      <c r="O11" s="102">
        <v>12</v>
      </c>
      <c r="P11" s="103" t="s">
        <v>262</v>
      </c>
      <c r="Q11" s="103">
        <v>0.2</v>
      </c>
      <c r="R11" s="57"/>
      <c r="S11" s="141" t="s">
        <v>769</v>
      </c>
      <c r="U11" s="145" t="s">
        <v>69</v>
      </c>
      <c r="V11" s="147" t="s">
        <v>478</v>
      </c>
      <c r="W11" s="148" t="s">
        <v>88</v>
      </c>
      <c r="X11" s="192">
        <v>0.15</v>
      </c>
      <c r="Y11" s="1"/>
      <c r="Z11" s="2"/>
      <c r="AA11" s="1"/>
      <c r="AB11" s="1"/>
      <c r="AC11" s="1"/>
      <c r="AD11" s="1"/>
      <c r="AE11" s="57"/>
      <c r="AF11" s="57"/>
      <c r="AG11" s="57"/>
      <c r="AH11" s="244" t="s">
        <v>620</v>
      </c>
      <c r="AI11" s="243" t="s">
        <v>586</v>
      </c>
      <c r="AL11" s="245"/>
      <c r="AM11" s="243"/>
      <c r="AO11" s="244">
        <v>412</v>
      </c>
      <c r="AP11" s="243" t="s">
        <v>586</v>
      </c>
    </row>
    <row r="12" spans="1:49" ht="43.5" customHeight="1" x14ac:dyDescent="0.25">
      <c r="A12" s="57"/>
      <c r="B12" s="57">
        <v>12106</v>
      </c>
      <c r="C12" s="57" t="s">
        <v>278</v>
      </c>
      <c r="D12" s="57" t="s">
        <v>100</v>
      </c>
      <c r="E12" s="57"/>
      <c r="F12" s="57" t="s">
        <v>344</v>
      </c>
      <c r="G12" s="57" t="s">
        <v>330</v>
      </c>
      <c r="H12" s="57" t="s">
        <v>116</v>
      </c>
      <c r="I12" s="127" t="s">
        <v>450</v>
      </c>
      <c r="J12" s="57"/>
      <c r="K12" s="57"/>
      <c r="L12" s="104">
        <v>14</v>
      </c>
      <c r="M12" s="106" t="s">
        <v>261</v>
      </c>
      <c r="N12" s="120">
        <v>0.25</v>
      </c>
      <c r="O12" s="105">
        <v>13</v>
      </c>
      <c r="P12" s="103" t="s">
        <v>262</v>
      </c>
      <c r="Q12" s="103">
        <v>0.2</v>
      </c>
      <c r="R12" s="57"/>
      <c r="S12" s="141" t="s">
        <v>774</v>
      </c>
      <c r="T12" s="135"/>
      <c r="U12" s="140" t="s">
        <v>461</v>
      </c>
      <c r="V12" s="57"/>
      <c r="W12" s="148" t="s">
        <v>89</v>
      </c>
      <c r="X12" s="1"/>
      <c r="Y12" s="1"/>
      <c r="Z12" s="2"/>
      <c r="AA12" s="1"/>
      <c r="AB12" s="1"/>
      <c r="AC12" s="1"/>
      <c r="AD12" s="1"/>
      <c r="AE12" s="57"/>
      <c r="AF12" s="57"/>
      <c r="AG12" s="57"/>
      <c r="AH12" t="s">
        <v>626</v>
      </c>
      <c r="AI12" t="s">
        <v>587</v>
      </c>
      <c r="AL12" s="245"/>
      <c r="AO12" s="245">
        <v>41201</v>
      </c>
      <c r="AP12" t="s">
        <v>587</v>
      </c>
    </row>
    <row r="13" spans="1:49" ht="40.5" customHeight="1" x14ac:dyDescent="0.25">
      <c r="A13" s="57"/>
      <c r="B13" s="57">
        <v>12107</v>
      </c>
      <c r="C13" s="57" t="s">
        <v>279</v>
      </c>
      <c r="D13" s="57" t="s">
        <v>101</v>
      </c>
      <c r="E13" s="57"/>
      <c r="F13" s="57" t="s">
        <v>340</v>
      </c>
      <c r="G13" s="57" t="s">
        <v>330</v>
      </c>
      <c r="H13" s="57" t="s">
        <v>123</v>
      </c>
      <c r="I13" s="57"/>
      <c r="J13" s="57"/>
      <c r="K13" s="57"/>
      <c r="L13" s="101">
        <v>15</v>
      </c>
      <c r="M13" s="103" t="s">
        <v>262</v>
      </c>
      <c r="N13" s="103">
        <v>0.2</v>
      </c>
      <c r="O13" s="102">
        <v>14</v>
      </c>
      <c r="P13" s="103" t="s">
        <v>262</v>
      </c>
      <c r="Q13" s="103">
        <v>0.2</v>
      </c>
      <c r="R13" s="57"/>
      <c r="S13" s="141" t="s">
        <v>775</v>
      </c>
      <c r="U13" s="140" t="s">
        <v>462</v>
      </c>
      <c r="V13" s="57"/>
      <c r="W13" s="148" t="s">
        <v>90</v>
      </c>
      <c r="X13" s="1"/>
      <c r="Y13" s="1"/>
      <c r="Z13" s="2"/>
      <c r="AA13" s="1"/>
      <c r="AB13" s="1"/>
      <c r="AC13" s="1"/>
      <c r="AD13" s="1"/>
      <c r="AE13" s="57"/>
      <c r="AF13" s="57"/>
      <c r="AG13" s="57"/>
      <c r="AH13" t="s">
        <v>627</v>
      </c>
      <c r="AI13" t="s">
        <v>628</v>
      </c>
      <c r="AL13" s="245"/>
      <c r="AO13" s="245">
        <v>41202</v>
      </c>
      <c r="AP13" t="s">
        <v>628</v>
      </c>
    </row>
    <row r="14" spans="1:49" ht="46.5" customHeight="1" x14ac:dyDescent="0.25">
      <c r="A14" s="57"/>
      <c r="B14" s="57">
        <v>12108</v>
      </c>
      <c r="C14" s="57" t="s">
        <v>280</v>
      </c>
      <c r="D14" s="57" t="s">
        <v>102</v>
      </c>
      <c r="E14" s="57"/>
      <c r="F14" s="79" t="s">
        <v>343</v>
      </c>
      <c r="G14" s="57" t="s">
        <v>330</v>
      </c>
      <c r="H14" s="57" t="s">
        <v>91</v>
      </c>
      <c r="I14" s="127" t="s">
        <v>450</v>
      </c>
      <c r="J14" s="57"/>
      <c r="K14" s="57"/>
      <c r="L14" s="104">
        <v>16</v>
      </c>
      <c r="M14" s="103" t="s">
        <v>262</v>
      </c>
      <c r="N14" s="103">
        <v>0.2</v>
      </c>
      <c r="O14" s="105">
        <v>15</v>
      </c>
      <c r="P14" s="103" t="s">
        <v>262</v>
      </c>
      <c r="Q14" s="103">
        <v>0.2</v>
      </c>
      <c r="R14" s="57"/>
      <c r="S14" s="141" t="s">
        <v>776</v>
      </c>
      <c r="U14" s="140" t="s">
        <v>463</v>
      </c>
      <c r="V14" s="57"/>
      <c r="W14" s="148"/>
      <c r="X14" s="1"/>
      <c r="Y14" s="1"/>
      <c r="Z14" s="2"/>
      <c r="AA14" s="1"/>
      <c r="AB14" s="1"/>
      <c r="AC14" s="1"/>
      <c r="AD14" s="1"/>
      <c r="AE14" s="57"/>
      <c r="AF14" s="57"/>
      <c r="AG14" s="57"/>
      <c r="AH14" t="s">
        <v>629</v>
      </c>
      <c r="AI14" t="s">
        <v>630</v>
      </c>
      <c r="AL14" s="245"/>
      <c r="AO14" s="245">
        <v>41203</v>
      </c>
      <c r="AP14" t="s">
        <v>630</v>
      </c>
    </row>
    <row r="15" spans="1:49" ht="46.5" customHeight="1" x14ac:dyDescent="0.25">
      <c r="A15" s="57"/>
      <c r="B15" s="57">
        <v>12109</v>
      </c>
      <c r="C15" s="57" t="s">
        <v>281</v>
      </c>
      <c r="D15" s="57" t="s">
        <v>103</v>
      </c>
      <c r="E15" s="57"/>
      <c r="F15" s="57" t="s">
        <v>345</v>
      </c>
      <c r="G15" s="57" t="s">
        <v>330</v>
      </c>
      <c r="H15" s="57" t="s">
        <v>118</v>
      </c>
      <c r="I15" s="127" t="s">
        <v>450</v>
      </c>
      <c r="J15" s="57"/>
      <c r="K15" s="57"/>
      <c r="L15" s="101">
        <v>17</v>
      </c>
      <c r="M15" s="103" t="s">
        <v>262</v>
      </c>
      <c r="N15" s="103">
        <v>0.2</v>
      </c>
      <c r="O15" s="102">
        <v>16</v>
      </c>
      <c r="P15" s="103" t="s">
        <v>262</v>
      </c>
      <c r="Q15" s="103">
        <v>0.2</v>
      </c>
      <c r="R15" s="57"/>
      <c r="S15" s="141" t="s">
        <v>777</v>
      </c>
      <c r="U15" s="140" t="s">
        <v>464</v>
      </c>
      <c r="V15" s="57"/>
      <c r="W15" s="57"/>
      <c r="X15" s="57"/>
      <c r="Y15" s="57"/>
      <c r="Z15" s="57"/>
      <c r="AA15" s="57"/>
      <c r="AB15" s="57"/>
      <c r="AC15" s="57"/>
      <c r="AD15" s="57"/>
      <c r="AE15" s="57"/>
      <c r="AF15" s="57"/>
      <c r="AG15" s="57"/>
      <c r="AH15" t="s">
        <v>631</v>
      </c>
      <c r="AI15" t="s">
        <v>588</v>
      </c>
      <c r="AL15" s="245"/>
      <c r="AO15" s="245">
        <v>41205</v>
      </c>
      <c r="AP15" t="s">
        <v>588</v>
      </c>
    </row>
    <row r="16" spans="1:49" ht="38.25" customHeight="1" x14ac:dyDescent="0.25">
      <c r="A16" s="57"/>
      <c r="B16" s="57">
        <v>12110</v>
      </c>
      <c r="C16" s="57" t="s">
        <v>282</v>
      </c>
      <c r="D16" s="57" t="s">
        <v>104</v>
      </c>
      <c r="E16" s="57"/>
      <c r="F16" s="57" t="s">
        <v>346</v>
      </c>
      <c r="G16" s="57" t="s">
        <v>330</v>
      </c>
      <c r="H16" s="57" t="s">
        <v>115</v>
      </c>
      <c r="I16" s="127" t="s">
        <v>450</v>
      </c>
      <c r="J16" s="57"/>
      <c r="K16" s="57"/>
      <c r="L16" s="104">
        <v>18</v>
      </c>
      <c r="M16" s="103" t="s">
        <v>262</v>
      </c>
      <c r="N16" s="103">
        <v>0.2</v>
      </c>
      <c r="O16" s="57"/>
      <c r="P16" s="57"/>
      <c r="Q16" s="57"/>
      <c r="R16" s="57"/>
      <c r="S16" s="141" t="s">
        <v>778</v>
      </c>
      <c r="U16" s="140" t="s">
        <v>466</v>
      </c>
      <c r="V16" s="57"/>
      <c r="W16" s="57"/>
      <c r="X16" s="57"/>
      <c r="Y16" s="57"/>
      <c r="Z16" s="57"/>
      <c r="AA16" s="57"/>
      <c r="AB16" s="57"/>
      <c r="AC16" s="57"/>
      <c r="AD16" s="57"/>
      <c r="AE16" s="57"/>
      <c r="AF16" s="57"/>
      <c r="AG16" s="57"/>
      <c r="AH16" t="s">
        <v>632</v>
      </c>
      <c r="AI16" t="s">
        <v>633</v>
      </c>
      <c r="AL16" s="245"/>
      <c r="AO16" s="245">
        <v>41206</v>
      </c>
      <c r="AP16" t="s">
        <v>633</v>
      </c>
    </row>
    <row r="17" spans="1:42" ht="28.5" customHeight="1" x14ac:dyDescent="0.25">
      <c r="A17" s="57"/>
      <c r="B17" s="57">
        <v>12111</v>
      </c>
      <c r="C17" s="57" t="s">
        <v>283</v>
      </c>
      <c r="D17" s="57" t="s">
        <v>105</v>
      </c>
      <c r="E17" s="57"/>
      <c r="F17" s="57" t="s">
        <v>347</v>
      </c>
      <c r="G17" s="57" t="s">
        <v>330</v>
      </c>
      <c r="H17" s="57" t="s">
        <v>121</v>
      </c>
      <c r="I17" s="127" t="s">
        <v>450</v>
      </c>
      <c r="J17" s="57"/>
      <c r="K17" s="57"/>
      <c r="L17" s="101">
        <v>19</v>
      </c>
      <c r="M17" s="103" t="s">
        <v>262</v>
      </c>
      <c r="N17" s="103">
        <v>0.2</v>
      </c>
      <c r="O17" s="57"/>
      <c r="P17" s="57"/>
      <c r="Q17" s="57"/>
      <c r="R17" s="57"/>
      <c r="S17" s="141" t="s">
        <v>691</v>
      </c>
      <c r="U17" s="140" t="s">
        <v>467</v>
      </c>
      <c r="V17" s="57"/>
      <c r="W17" s="57"/>
      <c r="X17" s="57"/>
      <c r="Y17" s="57"/>
      <c r="Z17" s="57"/>
      <c r="AA17" s="57"/>
      <c r="AB17" s="57"/>
      <c r="AC17" s="57"/>
      <c r="AD17" s="57"/>
      <c r="AE17" s="57"/>
      <c r="AF17" s="57"/>
      <c r="AG17" s="57"/>
      <c r="AH17" t="s">
        <v>634</v>
      </c>
      <c r="AI17" t="s">
        <v>635</v>
      </c>
      <c r="AJ17" s="243"/>
      <c r="AL17" s="245"/>
      <c r="AO17" s="245">
        <v>41207</v>
      </c>
      <c r="AP17" t="s">
        <v>635</v>
      </c>
    </row>
    <row r="18" spans="1:42" ht="26.25" customHeight="1" x14ac:dyDescent="0.25">
      <c r="A18" s="57"/>
      <c r="B18" s="57">
        <v>12112</v>
      </c>
      <c r="C18" s="57" t="s">
        <v>284</v>
      </c>
      <c r="D18" s="57" t="s">
        <v>106</v>
      </c>
      <c r="E18" s="57"/>
      <c r="F18" s="57" t="s">
        <v>348</v>
      </c>
      <c r="G18" s="57" t="s">
        <v>341</v>
      </c>
      <c r="H18" s="57" t="s">
        <v>106</v>
      </c>
      <c r="I18" s="57"/>
      <c r="J18" s="57"/>
      <c r="K18" s="57"/>
      <c r="L18" s="104">
        <v>20</v>
      </c>
      <c r="M18" s="103" t="s">
        <v>262</v>
      </c>
      <c r="N18" s="103">
        <v>0.2</v>
      </c>
      <c r="O18" s="57"/>
      <c r="P18" s="57"/>
      <c r="Q18" s="57"/>
      <c r="R18" s="57"/>
      <c r="S18" s="141" t="s">
        <v>692</v>
      </c>
      <c r="T18" s="136"/>
      <c r="U18" s="140" t="s">
        <v>468</v>
      </c>
      <c r="V18" s="57"/>
      <c r="W18" s="57"/>
      <c r="X18" s="57"/>
      <c r="Y18" s="57"/>
      <c r="Z18" s="57"/>
      <c r="AA18" s="57"/>
      <c r="AB18" s="57"/>
      <c r="AC18" s="57"/>
      <c r="AD18" s="57"/>
      <c r="AE18" s="57"/>
      <c r="AF18" s="57"/>
      <c r="AG18" s="57"/>
      <c r="AH18" t="s">
        <v>636</v>
      </c>
      <c r="AI18" t="s">
        <v>637</v>
      </c>
      <c r="AL18" s="245"/>
      <c r="AO18" s="245">
        <v>41208</v>
      </c>
      <c r="AP18" t="s">
        <v>637</v>
      </c>
    </row>
    <row r="19" spans="1:42" ht="26.25" customHeight="1" x14ac:dyDescent="0.25">
      <c r="A19" s="57"/>
      <c r="B19" s="57">
        <v>12113</v>
      </c>
      <c r="C19" s="57" t="s">
        <v>285</v>
      </c>
      <c r="D19" s="57" t="s">
        <v>107</v>
      </c>
      <c r="E19" s="57"/>
      <c r="F19" s="57" t="s">
        <v>349</v>
      </c>
      <c r="G19" s="57" t="s">
        <v>330</v>
      </c>
      <c r="H19" s="57" t="s">
        <v>115</v>
      </c>
      <c r="I19" s="127" t="s">
        <v>450</v>
      </c>
      <c r="J19" s="57"/>
      <c r="K19" s="57"/>
      <c r="L19" s="57"/>
      <c r="M19" s="57"/>
      <c r="N19" s="57"/>
      <c r="O19" s="57"/>
      <c r="P19" s="57"/>
      <c r="Q19" s="57"/>
      <c r="R19" s="57"/>
      <c r="S19" s="141" t="s">
        <v>693</v>
      </c>
      <c r="T19" s="136"/>
      <c r="U19" s="140" t="s">
        <v>481</v>
      </c>
      <c r="V19" s="57"/>
      <c r="W19" s="57"/>
      <c r="X19" s="57"/>
      <c r="Y19" s="57"/>
      <c r="Z19" s="57"/>
      <c r="AA19" s="57"/>
      <c r="AB19" s="57"/>
      <c r="AC19" s="57"/>
      <c r="AD19" s="57"/>
      <c r="AE19" s="57"/>
      <c r="AF19" s="57"/>
      <c r="AG19" s="57"/>
      <c r="AH19" s="248" t="s">
        <v>645</v>
      </c>
      <c r="AI19" t="s">
        <v>638</v>
      </c>
      <c r="AL19" s="244"/>
      <c r="AM19" s="243"/>
      <c r="AO19" s="247">
        <v>41209</v>
      </c>
      <c r="AP19" t="s">
        <v>638</v>
      </c>
    </row>
    <row r="20" spans="1:42" ht="36.75" customHeight="1" x14ac:dyDescent="0.25">
      <c r="A20" s="57"/>
      <c r="B20" s="57">
        <v>12114</v>
      </c>
      <c r="C20" s="57" t="s">
        <v>286</v>
      </c>
      <c r="D20" s="57" t="s">
        <v>108</v>
      </c>
      <c r="E20" s="57"/>
      <c r="F20" s="57" t="s">
        <v>350</v>
      </c>
      <c r="G20" s="57" t="s">
        <v>330</v>
      </c>
      <c r="H20" s="57" t="s">
        <v>94</v>
      </c>
      <c r="I20" s="127" t="s">
        <v>450</v>
      </c>
      <c r="J20" s="57"/>
      <c r="K20" s="57"/>
      <c r="L20" s="57"/>
      <c r="M20" s="57"/>
      <c r="N20" s="57"/>
      <c r="O20" s="57"/>
      <c r="P20" s="57"/>
      <c r="Q20" s="57"/>
      <c r="R20" s="57"/>
      <c r="S20" s="141" t="s">
        <v>694</v>
      </c>
      <c r="T20" s="136"/>
      <c r="U20" s="140" t="s">
        <v>482</v>
      </c>
      <c r="V20" s="57"/>
      <c r="W20" s="57"/>
      <c r="X20" s="57"/>
      <c r="Y20" s="57"/>
      <c r="Z20" s="57"/>
      <c r="AA20" s="57"/>
      <c r="AB20" s="57"/>
      <c r="AC20" s="57"/>
      <c r="AD20" s="57"/>
      <c r="AE20" s="57"/>
      <c r="AF20" s="57"/>
      <c r="AG20" s="57"/>
      <c r="AH20" t="s">
        <v>639</v>
      </c>
      <c r="AI20" t="s">
        <v>640</v>
      </c>
      <c r="AL20" s="245"/>
      <c r="AO20" s="245">
        <v>41210</v>
      </c>
      <c r="AP20" t="s">
        <v>640</v>
      </c>
    </row>
    <row r="21" spans="1:42" ht="25.5" x14ac:dyDescent="0.25">
      <c r="A21" s="57"/>
      <c r="B21" s="57">
        <v>12115</v>
      </c>
      <c r="C21" s="57" t="s">
        <v>287</v>
      </c>
      <c r="D21" s="57" t="s">
        <v>109</v>
      </c>
      <c r="E21" s="57"/>
      <c r="F21" s="57" t="s">
        <v>351</v>
      </c>
      <c r="G21" s="57" t="s">
        <v>330</v>
      </c>
      <c r="H21" s="57" t="s">
        <v>119</v>
      </c>
      <c r="I21" s="127" t="s">
        <v>450</v>
      </c>
      <c r="J21" s="57"/>
      <c r="K21" s="57"/>
      <c r="L21" s="57"/>
      <c r="M21" s="57"/>
      <c r="N21" s="57"/>
      <c r="O21" s="57"/>
      <c r="P21" s="57"/>
      <c r="Q21" s="57"/>
      <c r="R21" s="57"/>
      <c r="S21" s="141" t="s">
        <v>62</v>
      </c>
      <c r="T21" s="136"/>
      <c r="U21" s="141" t="s">
        <v>779</v>
      </c>
      <c r="V21" s="57"/>
      <c r="W21" s="57"/>
      <c r="X21" s="57"/>
      <c r="Y21" s="57"/>
      <c r="Z21" s="57"/>
      <c r="AA21" s="57"/>
      <c r="AB21" s="57"/>
      <c r="AC21" s="57"/>
      <c r="AD21" s="57"/>
      <c r="AE21" s="57"/>
      <c r="AF21" s="57"/>
      <c r="AG21" s="57"/>
      <c r="AH21" t="s">
        <v>641</v>
      </c>
      <c r="AI21" t="s">
        <v>590</v>
      </c>
      <c r="AL21" s="245"/>
      <c r="AO21" s="245">
        <v>41211</v>
      </c>
      <c r="AP21" t="s">
        <v>590</v>
      </c>
    </row>
    <row r="22" spans="1:42" ht="25.5" x14ac:dyDescent="0.25">
      <c r="A22" s="57"/>
      <c r="B22" s="57">
        <v>12116</v>
      </c>
      <c r="C22" s="57" t="s">
        <v>288</v>
      </c>
      <c r="D22" s="57" t="s">
        <v>110</v>
      </c>
      <c r="E22" s="57"/>
      <c r="F22" s="57" t="s">
        <v>352</v>
      </c>
      <c r="G22" s="57" t="s">
        <v>330</v>
      </c>
      <c r="H22" s="57" t="s">
        <v>92</v>
      </c>
      <c r="I22" s="127" t="s">
        <v>450</v>
      </c>
      <c r="J22" s="57"/>
      <c r="K22" s="57"/>
      <c r="L22" s="57"/>
      <c r="M22" s="57"/>
      <c r="N22" s="57"/>
      <c r="O22" s="57"/>
      <c r="P22" s="57"/>
      <c r="Q22" s="57"/>
      <c r="R22" s="57"/>
      <c r="S22" s="141" t="s">
        <v>83</v>
      </c>
      <c r="T22" s="136"/>
      <c r="U22" s="140" t="s">
        <v>15</v>
      </c>
      <c r="V22" s="57"/>
      <c r="W22" s="57"/>
      <c r="X22" s="57"/>
      <c r="Y22" s="57"/>
      <c r="Z22" s="57"/>
      <c r="AA22" s="57"/>
      <c r="AB22" s="57"/>
      <c r="AC22" s="57"/>
      <c r="AD22" s="57"/>
      <c r="AE22" s="57"/>
      <c r="AF22" s="57"/>
      <c r="AG22" s="57"/>
      <c r="AH22" t="s">
        <v>642</v>
      </c>
      <c r="AI22" t="s">
        <v>589</v>
      </c>
      <c r="AL22" s="245"/>
      <c r="AO22" s="245">
        <v>41212</v>
      </c>
      <c r="AP22" t="s">
        <v>589</v>
      </c>
    </row>
    <row r="23" spans="1:42" ht="30.75" customHeight="1" x14ac:dyDescent="0.25">
      <c r="A23" s="57"/>
      <c r="B23" s="57">
        <v>12117</v>
      </c>
      <c r="C23" s="57" t="s">
        <v>289</v>
      </c>
      <c r="D23" s="57" t="s">
        <v>111</v>
      </c>
      <c r="E23" s="57"/>
      <c r="F23" s="57" t="s">
        <v>353</v>
      </c>
      <c r="G23" s="57" t="s">
        <v>330</v>
      </c>
      <c r="H23" s="57" t="s">
        <v>115</v>
      </c>
      <c r="I23" s="127" t="s">
        <v>450</v>
      </c>
      <c r="J23" s="57"/>
      <c r="K23" s="57"/>
      <c r="L23" s="57"/>
      <c r="M23" s="57"/>
      <c r="N23" s="57"/>
      <c r="O23" s="57"/>
      <c r="P23" s="57"/>
      <c r="Q23" s="57"/>
      <c r="R23" s="57"/>
      <c r="S23" s="141" t="s">
        <v>780</v>
      </c>
      <c r="T23" s="136"/>
      <c r="V23" s="57"/>
      <c r="W23" s="57"/>
      <c r="X23" s="57"/>
      <c r="Y23" s="57"/>
      <c r="Z23" s="57"/>
      <c r="AA23" s="57"/>
      <c r="AB23" s="57"/>
      <c r="AC23" s="57"/>
      <c r="AD23" s="57"/>
      <c r="AE23" s="57"/>
      <c r="AF23" s="57"/>
      <c r="AG23" s="57"/>
      <c r="AH23" t="s">
        <v>643</v>
      </c>
      <c r="AI23" t="s">
        <v>644</v>
      </c>
      <c r="AL23" s="245"/>
      <c r="AO23" s="245">
        <v>41213</v>
      </c>
      <c r="AP23" t="s">
        <v>644</v>
      </c>
    </row>
    <row r="24" spans="1:42" ht="25.5" x14ac:dyDescent="0.25">
      <c r="A24" s="57"/>
      <c r="B24" s="57">
        <v>12118</v>
      </c>
      <c r="C24" s="57" t="s">
        <v>290</v>
      </c>
      <c r="D24" s="57" t="s">
        <v>112</v>
      </c>
      <c r="E24" s="57"/>
      <c r="F24" s="57" t="s">
        <v>354</v>
      </c>
      <c r="G24" s="57" t="s">
        <v>330</v>
      </c>
      <c r="H24" s="57" t="s">
        <v>92</v>
      </c>
      <c r="I24" s="127" t="s">
        <v>450</v>
      </c>
      <c r="J24" s="57"/>
      <c r="K24" s="57"/>
      <c r="L24" s="57"/>
      <c r="M24" s="57"/>
      <c r="N24" s="57"/>
      <c r="O24" s="57"/>
      <c r="P24" s="57"/>
      <c r="Q24" s="57"/>
      <c r="R24" s="57"/>
      <c r="S24" s="141" t="s">
        <v>781</v>
      </c>
      <c r="T24" s="136"/>
      <c r="U24" s="140"/>
      <c r="V24" s="57"/>
      <c r="W24" s="57"/>
      <c r="X24" s="57"/>
      <c r="Y24" s="57"/>
      <c r="Z24" s="57"/>
      <c r="AA24" s="57"/>
      <c r="AB24" s="57"/>
      <c r="AC24" s="57"/>
      <c r="AD24" s="57"/>
      <c r="AE24" s="57"/>
      <c r="AF24" s="57"/>
      <c r="AG24" s="57"/>
      <c r="AH24" s="244" t="s">
        <v>621</v>
      </c>
      <c r="AI24" s="243" t="s">
        <v>4</v>
      </c>
      <c r="AL24" s="245"/>
      <c r="AO24" s="244">
        <v>4122</v>
      </c>
      <c r="AP24" s="243" t="s">
        <v>4</v>
      </c>
    </row>
    <row r="25" spans="1:42" x14ac:dyDescent="0.25">
      <c r="A25" s="57"/>
      <c r="B25" s="57">
        <v>12119</v>
      </c>
      <c r="C25" s="57" t="s">
        <v>291</v>
      </c>
      <c r="D25" s="57" t="s">
        <v>113</v>
      </c>
      <c r="E25" s="57"/>
      <c r="F25" s="57" t="s">
        <v>355</v>
      </c>
      <c r="G25" s="57" t="s">
        <v>341</v>
      </c>
      <c r="H25" s="57" t="s">
        <v>107</v>
      </c>
      <c r="I25" s="57"/>
      <c r="J25" s="57"/>
      <c r="K25" s="57"/>
      <c r="L25" s="57"/>
      <c r="M25" s="57"/>
      <c r="N25" s="57"/>
      <c r="O25" s="57"/>
      <c r="P25" s="57"/>
      <c r="Q25" s="57"/>
      <c r="R25" s="57"/>
      <c r="U25" s="140"/>
      <c r="V25" s="57"/>
      <c r="W25" s="57"/>
      <c r="X25" s="57"/>
      <c r="Y25" s="57"/>
      <c r="Z25" s="57"/>
      <c r="AA25" s="57"/>
      <c r="AB25" s="57"/>
      <c r="AC25" s="57"/>
      <c r="AD25" s="57"/>
      <c r="AE25" s="57"/>
      <c r="AF25" s="57"/>
      <c r="AG25" s="57"/>
      <c r="AH25" s="245" t="s">
        <v>622</v>
      </c>
      <c r="AI25" t="s">
        <v>583</v>
      </c>
      <c r="AL25" s="245"/>
      <c r="AO25" s="245">
        <v>412201</v>
      </c>
      <c r="AP25" t="s">
        <v>583</v>
      </c>
    </row>
    <row r="26" spans="1:42" x14ac:dyDescent="0.25">
      <c r="A26" s="57"/>
      <c r="B26" s="57">
        <v>12120</v>
      </c>
      <c r="C26" s="57" t="s">
        <v>292</v>
      </c>
      <c r="D26" s="57" t="s">
        <v>114</v>
      </c>
      <c r="E26" s="57"/>
      <c r="F26" s="57" t="s">
        <v>357</v>
      </c>
      <c r="G26" s="57" t="s">
        <v>342</v>
      </c>
      <c r="H26" s="57" t="s">
        <v>122</v>
      </c>
      <c r="I26" s="127" t="s">
        <v>450</v>
      </c>
      <c r="J26" s="57"/>
      <c r="K26" s="57"/>
      <c r="L26" s="57"/>
      <c r="M26" s="57"/>
      <c r="N26" s="57"/>
      <c r="O26" s="57"/>
      <c r="P26" s="57"/>
      <c r="Q26" s="57"/>
      <c r="R26" s="57"/>
      <c r="U26" s="140"/>
      <c r="V26" s="57"/>
      <c r="W26" s="57"/>
      <c r="X26" s="57"/>
      <c r="Y26" s="57"/>
      <c r="Z26" s="57"/>
      <c r="AA26" s="57"/>
      <c r="AB26" s="57"/>
      <c r="AC26" s="57"/>
      <c r="AD26" s="57"/>
      <c r="AE26" s="57"/>
      <c r="AF26" s="57"/>
      <c r="AG26" s="57"/>
      <c r="AH26" s="245" t="s">
        <v>623</v>
      </c>
      <c r="AI26" t="s">
        <v>611</v>
      </c>
      <c r="AL26" s="245"/>
      <c r="AO26" s="245">
        <v>412202</v>
      </c>
      <c r="AP26" t="s">
        <v>611</v>
      </c>
    </row>
    <row r="27" spans="1:42" x14ac:dyDescent="0.25">
      <c r="A27" s="57"/>
      <c r="B27" s="57">
        <v>130000</v>
      </c>
      <c r="C27" s="57" t="s">
        <v>293</v>
      </c>
      <c r="D27" s="57" t="s">
        <v>115</v>
      </c>
      <c r="E27" s="57"/>
      <c r="F27" s="57" t="s">
        <v>358</v>
      </c>
      <c r="G27" s="57" t="s">
        <v>330</v>
      </c>
      <c r="H27" s="57" t="s">
        <v>124</v>
      </c>
      <c r="I27" s="127" t="s">
        <v>450</v>
      </c>
      <c r="J27" s="57"/>
      <c r="K27" s="57"/>
      <c r="L27" s="57"/>
      <c r="M27" s="57"/>
      <c r="N27" s="57"/>
      <c r="O27" s="57"/>
      <c r="P27" s="57"/>
      <c r="Q27" s="57"/>
      <c r="R27" s="57"/>
      <c r="T27" s="136"/>
      <c r="U27" s="140"/>
      <c r="V27" s="57"/>
      <c r="W27" s="57"/>
      <c r="X27" s="57"/>
      <c r="Y27" s="57"/>
      <c r="Z27" s="57"/>
      <c r="AA27" s="57"/>
      <c r="AB27" s="57"/>
      <c r="AC27" s="57"/>
      <c r="AD27" s="57"/>
      <c r="AE27" s="57"/>
      <c r="AF27" s="57"/>
      <c r="AG27" s="57"/>
      <c r="AH27" s="245" t="s">
        <v>624</v>
      </c>
      <c r="AI27" t="s">
        <v>584</v>
      </c>
      <c r="AL27" s="245"/>
      <c r="AO27" s="245">
        <v>412203</v>
      </c>
      <c r="AP27" t="s">
        <v>584</v>
      </c>
    </row>
    <row r="28" spans="1:42" x14ac:dyDescent="0.25">
      <c r="A28" s="57"/>
      <c r="B28" s="57">
        <v>140000</v>
      </c>
      <c r="C28" s="57" t="s">
        <v>294</v>
      </c>
      <c r="D28" s="57" t="s">
        <v>116</v>
      </c>
      <c r="E28" s="57"/>
      <c r="F28" s="57" t="s">
        <v>359</v>
      </c>
      <c r="G28" s="57" t="s">
        <v>330</v>
      </c>
      <c r="H28" s="57" t="s">
        <v>122</v>
      </c>
      <c r="I28" s="127" t="s">
        <v>450</v>
      </c>
      <c r="J28" s="57"/>
      <c r="K28" s="57"/>
      <c r="L28" s="57"/>
      <c r="M28" s="57"/>
      <c r="N28" s="57"/>
      <c r="O28" s="57"/>
      <c r="P28" s="57"/>
      <c r="Q28" s="57"/>
      <c r="R28" s="57"/>
      <c r="T28" s="136"/>
      <c r="U28" s="140"/>
      <c r="V28" s="57"/>
      <c r="W28" s="57"/>
      <c r="X28" s="57"/>
      <c r="Y28" s="57"/>
      <c r="Z28" s="57"/>
      <c r="AA28" s="57"/>
      <c r="AB28" s="57"/>
      <c r="AC28" s="57"/>
      <c r="AD28" s="57"/>
      <c r="AE28" s="57"/>
      <c r="AF28" s="57"/>
      <c r="AG28" s="57"/>
      <c r="AH28" s="245" t="s">
        <v>625</v>
      </c>
      <c r="AI28" t="s">
        <v>585</v>
      </c>
      <c r="AL28" s="245"/>
      <c r="AO28" s="245">
        <v>412204</v>
      </c>
      <c r="AP28" t="s">
        <v>585</v>
      </c>
    </row>
    <row r="29" spans="1:42" x14ac:dyDescent="0.25">
      <c r="A29" s="57"/>
      <c r="B29" s="57">
        <v>150000</v>
      </c>
      <c r="C29" s="57" t="s">
        <v>295</v>
      </c>
      <c r="D29" s="57" t="s">
        <v>117</v>
      </c>
      <c r="E29" s="57"/>
      <c r="F29" s="57" t="s">
        <v>360</v>
      </c>
      <c r="G29" s="57" t="s">
        <v>341</v>
      </c>
      <c r="H29" s="57" t="s">
        <v>108</v>
      </c>
      <c r="I29" s="57"/>
      <c r="J29" s="57"/>
      <c r="K29" s="57"/>
      <c r="L29" s="57"/>
      <c r="M29" s="57"/>
      <c r="N29" s="57"/>
      <c r="O29" s="57"/>
      <c r="P29" s="57"/>
      <c r="Q29" s="57"/>
      <c r="R29" s="57"/>
      <c r="S29" s="142"/>
      <c r="T29" s="136"/>
      <c r="U29" s="131"/>
      <c r="V29" s="57"/>
      <c r="W29" s="57"/>
      <c r="X29" s="57"/>
      <c r="Y29" s="57"/>
      <c r="Z29" s="57"/>
      <c r="AA29" s="57"/>
      <c r="AB29" s="57"/>
      <c r="AC29" s="57"/>
      <c r="AD29" s="57"/>
      <c r="AE29" s="57"/>
      <c r="AF29" s="57"/>
      <c r="AG29" s="57"/>
      <c r="AH29" s="245" t="s">
        <v>646</v>
      </c>
      <c r="AI29" t="s">
        <v>591</v>
      </c>
      <c r="AL29" s="245"/>
      <c r="AO29" s="245">
        <v>415</v>
      </c>
      <c r="AP29" t="s">
        <v>591</v>
      </c>
    </row>
    <row r="30" spans="1:42" x14ac:dyDescent="0.25">
      <c r="A30" s="57"/>
      <c r="B30" s="57">
        <v>190000</v>
      </c>
      <c r="C30" s="57" t="s">
        <v>296</v>
      </c>
      <c r="D30" s="57" t="s">
        <v>118</v>
      </c>
      <c r="E30" s="57"/>
      <c r="F30" s="57" t="s">
        <v>361</v>
      </c>
      <c r="G30" s="57" t="s">
        <v>341</v>
      </c>
      <c r="H30" s="57" t="s">
        <v>109</v>
      </c>
      <c r="I30" s="57"/>
      <c r="J30" s="57"/>
      <c r="K30" s="57"/>
      <c r="L30" s="57"/>
      <c r="M30" s="57"/>
      <c r="N30" s="57"/>
      <c r="O30" s="57"/>
      <c r="P30" s="57"/>
      <c r="Q30" s="57"/>
      <c r="R30" s="57"/>
      <c r="S30" s="142"/>
      <c r="T30" s="136"/>
      <c r="U30" s="140"/>
      <c r="V30" s="57"/>
      <c r="W30" s="57"/>
      <c r="X30" s="57"/>
      <c r="Y30" s="57"/>
      <c r="Z30" s="57"/>
      <c r="AA30" s="57"/>
      <c r="AB30" s="57"/>
      <c r="AC30" s="57"/>
      <c r="AD30" s="57"/>
      <c r="AE30" s="57"/>
      <c r="AF30" s="57"/>
      <c r="AG30" s="57"/>
      <c r="AH30" s="245"/>
      <c r="AL30" s="245"/>
      <c r="AO30" s="245"/>
    </row>
    <row r="31" spans="1:42" ht="27" customHeight="1" x14ac:dyDescent="0.25">
      <c r="A31" s="57"/>
      <c r="B31" s="57">
        <v>200000</v>
      </c>
      <c r="C31" s="57" t="s">
        <v>297</v>
      </c>
      <c r="D31" s="57" t="s">
        <v>119</v>
      </c>
      <c r="E31" s="57"/>
      <c r="F31" s="57" t="s">
        <v>362</v>
      </c>
      <c r="G31" s="57" t="s">
        <v>341</v>
      </c>
      <c r="H31" s="57" t="s">
        <v>110</v>
      </c>
      <c r="I31" s="57"/>
      <c r="J31" s="57"/>
      <c r="K31" s="57"/>
      <c r="L31" s="57"/>
      <c r="M31" s="57"/>
      <c r="N31" s="57"/>
      <c r="O31" s="57"/>
      <c r="P31" s="57"/>
      <c r="Q31" s="57"/>
      <c r="R31" s="57"/>
      <c r="S31" s="142"/>
      <c r="T31" s="136"/>
      <c r="U31" s="140"/>
      <c r="V31" s="57"/>
      <c r="W31" s="57"/>
      <c r="X31" s="57"/>
      <c r="Y31" s="57"/>
      <c r="Z31" s="57"/>
      <c r="AA31" s="57"/>
      <c r="AB31" s="57"/>
      <c r="AC31" s="57"/>
      <c r="AD31" s="57"/>
      <c r="AE31" s="57"/>
      <c r="AF31" s="57"/>
      <c r="AG31" s="57"/>
      <c r="AH31" s="245"/>
      <c r="AO31" s="245"/>
    </row>
    <row r="32" spans="1:42" x14ac:dyDescent="0.25">
      <c r="A32" s="57"/>
      <c r="B32" s="57">
        <v>210000</v>
      </c>
      <c r="C32" s="57" t="s">
        <v>298</v>
      </c>
      <c r="D32" s="57" t="s">
        <v>120</v>
      </c>
      <c r="E32" s="57"/>
      <c r="F32" s="57" t="s">
        <v>363</v>
      </c>
      <c r="G32" s="57" t="s">
        <v>341</v>
      </c>
      <c r="H32" s="57" t="s">
        <v>111</v>
      </c>
      <c r="I32" s="57"/>
      <c r="J32" s="57"/>
      <c r="K32" s="57"/>
      <c r="L32" s="57"/>
      <c r="M32" s="57"/>
      <c r="N32" s="57"/>
      <c r="O32" s="57"/>
      <c r="P32" s="57"/>
      <c r="Q32" s="57"/>
      <c r="R32" s="57"/>
      <c r="S32" s="143"/>
      <c r="T32" s="136"/>
      <c r="U32" s="140"/>
      <c r="V32" s="57"/>
      <c r="W32" s="57"/>
      <c r="X32" s="57"/>
      <c r="Y32" s="57"/>
      <c r="Z32" s="57"/>
      <c r="AA32" s="57"/>
      <c r="AB32" s="57"/>
      <c r="AC32" s="57"/>
      <c r="AD32" s="57"/>
      <c r="AE32" s="57"/>
      <c r="AF32" s="57"/>
      <c r="AG32" s="57"/>
      <c r="AH32" s="243" t="s">
        <v>592</v>
      </c>
      <c r="AI32" s="243"/>
      <c r="AO32" s="243" t="s">
        <v>592</v>
      </c>
      <c r="AP32" s="243"/>
    </row>
    <row r="33" spans="1:42" x14ac:dyDescent="0.25">
      <c r="A33" s="57"/>
      <c r="B33" s="57">
        <v>220000</v>
      </c>
      <c r="C33" s="57" t="s">
        <v>299</v>
      </c>
      <c r="D33" s="57" t="s">
        <v>121</v>
      </c>
      <c r="E33" s="57"/>
      <c r="F33" s="57" t="s">
        <v>364</v>
      </c>
      <c r="G33" s="57" t="s">
        <v>341</v>
      </c>
      <c r="H33" s="57" t="s">
        <v>112</v>
      </c>
      <c r="I33" s="57"/>
      <c r="J33" s="57"/>
      <c r="K33" s="57"/>
      <c r="L33" s="57"/>
      <c r="M33" s="57"/>
      <c r="N33" s="57"/>
      <c r="O33" s="57"/>
      <c r="P33" s="57"/>
      <c r="Q33" s="57"/>
      <c r="R33" s="57"/>
      <c r="S33" s="143"/>
      <c r="T33" s="136"/>
      <c r="U33" s="140"/>
      <c r="V33" s="57"/>
      <c r="W33" s="57"/>
      <c r="X33" s="57"/>
      <c r="Y33" s="57"/>
      <c r="Z33" s="57"/>
      <c r="AA33" s="57"/>
      <c r="AB33" s="57"/>
      <c r="AC33" s="57"/>
      <c r="AD33" s="57"/>
      <c r="AE33" s="57"/>
      <c r="AF33" s="57"/>
      <c r="AG33" s="57"/>
      <c r="AH33" s="244" t="s">
        <v>647</v>
      </c>
      <c r="AI33" s="243" t="s">
        <v>223</v>
      </c>
      <c r="AJ33" s="243"/>
      <c r="AL33" s="245"/>
      <c r="AO33" s="244">
        <v>42</v>
      </c>
      <c r="AP33" s="243" t="s">
        <v>223</v>
      </c>
    </row>
    <row r="34" spans="1:42" x14ac:dyDescent="0.25">
      <c r="A34" s="57"/>
      <c r="B34" s="57">
        <v>230000</v>
      </c>
      <c r="C34" s="57" t="s">
        <v>300</v>
      </c>
      <c r="D34" s="57" t="s">
        <v>122</v>
      </c>
      <c r="E34" s="57"/>
      <c r="F34" s="57" t="s">
        <v>365</v>
      </c>
      <c r="G34" s="57" t="s">
        <v>341</v>
      </c>
      <c r="H34" s="57" t="s">
        <v>113</v>
      </c>
      <c r="I34" s="57"/>
      <c r="J34" s="57"/>
      <c r="K34" s="57"/>
      <c r="L34" s="57"/>
      <c r="M34" s="57"/>
      <c r="N34" s="57"/>
      <c r="O34" s="57"/>
      <c r="P34" s="57"/>
      <c r="Q34" s="57"/>
      <c r="R34" s="57"/>
      <c r="S34" s="143"/>
      <c r="T34" s="136"/>
      <c r="U34" s="131"/>
      <c r="V34" s="57"/>
      <c r="W34" s="57"/>
      <c r="X34" s="57"/>
      <c r="Y34" s="57"/>
      <c r="Z34" s="57"/>
      <c r="AA34" s="57"/>
      <c r="AB34" s="57"/>
      <c r="AC34" s="57"/>
      <c r="AD34" s="57"/>
      <c r="AE34" s="57"/>
      <c r="AF34" s="57"/>
      <c r="AG34" s="57"/>
      <c r="AH34" s="244" t="s">
        <v>648</v>
      </c>
      <c r="AI34" s="243" t="s">
        <v>593</v>
      </c>
      <c r="AJ34" s="243"/>
      <c r="AL34" s="243"/>
      <c r="AM34" s="243"/>
      <c r="AO34" s="244">
        <v>421</v>
      </c>
      <c r="AP34" s="243" t="s">
        <v>593</v>
      </c>
    </row>
    <row r="35" spans="1:42" x14ac:dyDescent="0.25">
      <c r="A35" s="57"/>
      <c r="B35" s="57">
        <v>80000</v>
      </c>
      <c r="C35" s="57" t="s">
        <v>301</v>
      </c>
      <c r="D35" s="57" t="s">
        <v>123</v>
      </c>
      <c r="E35" s="57"/>
      <c r="F35" s="57" t="s">
        <v>366</v>
      </c>
      <c r="G35" s="57" t="s">
        <v>341</v>
      </c>
      <c r="H35" s="57" t="s">
        <v>96</v>
      </c>
      <c r="I35" s="57"/>
      <c r="J35" s="57"/>
      <c r="K35" s="57"/>
      <c r="L35" s="57"/>
      <c r="M35" s="57"/>
      <c r="N35" s="57"/>
      <c r="O35" s="57"/>
      <c r="P35" s="57"/>
      <c r="Q35" s="57"/>
      <c r="R35" s="57"/>
      <c r="S35" s="143"/>
      <c r="T35" s="136"/>
      <c r="U35" s="131"/>
      <c r="V35" s="57"/>
      <c r="W35" s="57"/>
      <c r="X35" s="57"/>
      <c r="Y35" s="57"/>
      <c r="Z35" s="57"/>
      <c r="AA35" s="57"/>
      <c r="AB35" s="57"/>
      <c r="AC35" s="57"/>
      <c r="AD35" s="57"/>
      <c r="AE35" s="57"/>
      <c r="AF35" s="57"/>
      <c r="AG35" s="57"/>
      <c r="AH35" s="245" t="s">
        <v>649</v>
      </c>
      <c r="AI35" t="s">
        <v>594</v>
      </c>
      <c r="AL35" s="244"/>
      <c r="AM35" s="243"/>
      <c r="AO35" s="245">
        <v>4211</v>
      </c>
      <c r="AP35" t="s">
        <v>594</v>
      </c>
    </row>
    <row r="36" spans="1:42" x14ac:dyDescent="0.25">
      <c r="A36" s="57"/>
      <c r="B36" s="57">
        <v>90000</v>
      </c>
      <c r="C36" s="57" t="s">
        <v>302</v>
      </c>
      <c r="D36" s="57" t="s">
        <v>124</v>
      </c>
      <c r="E36" s="57"/>
      <c r="F36" s="57" t="s">
        <v>367</v>
      </c>
      <c r="G36" s="57" t="s">
        <v>341</v>
      </c>
      <c r="H36" s="57" t="s">
        <v>114</v>
      </c>
      <c r="I36" s="57"/>
      <c r="J36" s="57"/>
      <c r="K36" s="57"/>
      <c r="L36" s="57"/>
      <c r="M36" s="57"/>
      <c r="N36" s="57"/>
      <c r="O36" s="57"/>
      <c r="P36" s="57"/>
      <c r="Q36" s="57"/>
      <c r="R36" s="57"/>
      <c r="S36" s="143"/>
      <c r="T36" s="136"/>
      <c r="U36" s="140"/>
      <c r="V36" s="57"/>
      <c r="W36" s="57"/>
      <c r="X36" s="57"/>
      <c r="Y36" s="57"/>
      <c r="Z36" s="57"/>
      <c r="AA36" s="57"/>
      <c r="AB36" s="57"/>
      <c r="AC36" s="57"/>
      <c r="AD36" s="57"/>
      <c r="AE36" s="57"/>
      <c r="AF36" s="57"/>
      <c r="AG36" s="57"/>
      <c r="AH36" t="s">
        <v>650</v>
      </c>
      <c r="AI36" t="s">
        <v>652</v>
      </c>
      <c r="AL36" s="244"/>
      <c r="AM36" s="243"/>
      <c r="AO36" s="245">
        <v>421101</v>
      </c>
      <c r="AP36" t="s">
        <v>652</v>
      </c>
    </row>
    <row r="37" spans="1:42" x14ac:dyDescent="0.25">
      <c r="A37" s="57"/>
      <c r="B37" s="57"/>
      <c r="C37" s="57"/>
      <c r="D37" s="57"/>
      <c r="E37" s="57"/>
      <c r="F37" s="57" t="s">
        <v>368</v>
      </c>
      <c r="G37" s="57" t="s">
        <v>373</v>
      </c>
      <c r="H37" s="57" t="s">
        <v>118</v>
      </c>
      <c r="I37" s="127" t="s">
        <v>450</v>
      </c>
      <c r="J37" s="57"/>
      <c r="K37" s="57"/>
      <c r="L37" s="57"/>
      <c r="M37" s="57"/>
      <c r="N37" s="57"/>
      <c r="O37" s="57"/>
      <c r="P37" s="57"/>
      <c r="Q37" s="57"/>
      <c r="R37" s="57"/>
      <c r="S37" s="143"/>
      <c r="T37" s="136"/>
      <c r="U37" s="140"/>
      <c r="V37" s="57"/>
      <c r="W37" s="57"/>
      <c r="X37" s="57"/>
      <c r="Y37" s="57"/>
      <c r="Z37" s="57"/>
      <c r="AA37" s="57"/>
      <c r="AB37" s="57"/>
      <c r="AC37" s="57"/>
      <c r="AD37" s="57"/>
      <c r="AE37" s="57"/>
      <c r="AF37" s="57"/>
      <c r="AG37" s="57"/>
      <c r="AH37" t="s">
        <v>651</v>
      </c>
      <c r="AI37" t="s">
        <v>653</v>
      </c>
      <c r="AL37" s="245"/>
      <c r="AO37" s="245">
        <v>421102</v>
      </c>
      <c r="AP37" t="s">
        <v>653</v>
      </c>
    </row>
    <row r="38" spans="1:42" x14ac:dyDescent="0.25">
      <c r="A38" s="57"/>
      <c r="B38" s="57"/>
      <c r="C38" s="57"/>
      <c r="D38" s="57"/>
      <c r="E38" s="57"/>
      <c r="F38" s="57" t="s">
        <v>369</v>
      </c>
      <c r="G38" s="57" t="s">
        <v>452</v>
      </c>
      <c r="H38" s="57" t="s">
        <v>115</v>
      </c>
      <c r="I38" s="127"/>
      <c r="J38" s="57"/>
      <c r="K38" s="57"/>
      <c r="L38" s="57"/>
      <c r="M38" s="57"/>
      <c r="N38" s="57"/>
      <c r="O38" s="57"/>
      <c r="P38" s="57"/>
      <c r="Q38" s="57"/>
      <c r="R38" s="57"/>
      <c r="S38" s="143"/>
      <c r="T38" s="136"/>
      <c r="U38" s="140"/>
      <c r="V38" s="57"/>
      <c r="W38" s="57"/>
      <c r="X38" s="57"/>
      <c r="Y38" s="57"/>
      <c r="Z38" s="57"/>
      <c r="AA38" s="57"/>
      <c r="AB38" s="57"/>
      <c r="AC38" s="57"/>
      <c r="AD38" s="57"/>
      <c r="AE38" s="57"/>
      <c r="AF38" s="57"/>
      <c r="AG38" s="57"/>
      <c r="AH38" s="245" t="s">
        <v>654</v>
      </c>
      <c r="AI38" t="s">
        <v>595</v>
      </c>
      <c r="AL38" s="245"/>
      <c r="AO38" s="245">
        <v>4212</v>
      </c>
      <c r="AP38" t="s">
        <v>595</v>
      </c>
    </row>
    <row r="39" spans="1:42" x14ac:dyDescent="0.25">
      <c r="A39" s="57"/>
      <c r="B39" s="57"/>
      <c r="C39" s="57"/>
      <c r="D39" s="57"/>
      <c r="E39" s="57"/>
      <c r="F39" s="57" t="s">
        <v>370</v>
      </c>
      <c r="G39" s="57" t="s">
        <v>330</v>
      </c>
      <c r="H39" s="57" t="s">
        <v>115</v>
      </c>
      <c r="I39" s="127" t="s">
        <v>450</v>
      </c>
      <c r="J39" s="57"/>
      <c r="K39" s="57"/>
      <c r="L39" s="57"/>
      <c r="M39" s="57"/>
      <c r="N39" s="57"/>
      <c r="O39" s="57"/>
      <c r="P39" s="57"/>
      <c r="Q39" s="57"/>
      <c r="R39" s="57"/>
      <c r="S39" s="143"/>
      <c r="T39" s="136"/>
      <c r="U39" s="140"/>
      <c r="V39" s="57"/>
      <c r="W39" s="57"/>
      <c r="X39" s="57"/>
      <c r="Y39" s="57"/>
      <c r="Z39" s="57"/>
      <c r="AA39" s="57"/>
      <c r="AB39" s="57"/>
      <c r="AC39" s="57"/>
      <c r="AD39" s="57"/>
      <c r="AE39" s="57"/>
      <c r="AF39" s="57"/>
      <c r="AG39" s="57"/>
      <c r="AH39" t="s">
        <v>655</v>
      </c>
      <c r="AI39" t="s">
        <v>656</v>
      </c>
      <c r="AL39" s="245"/>
      <c r="AO39" s="245">
        <v>421201</v>
      </c>
      <c r="AP39" t="s">
        <v>656</v>
      </c>
    </row>
    <row r="40" spans="1:42" x14ac:dyDescent="0.25">
      <c r="A40" s="57"/>
      <c r="B40" s="57"/>
      <c r="C40" s="57"/>
      <c r="D40" s="57"/>
      <c r="E40" s="57"/>
      <c r="F40" s="57" t="s">
        <v>375</v>
      </c>
      <c r="G40" s="57" t="s">
        <v>373</v>
      </c>
      <c r="H40" s="57" t="s">
        <v>123</v>
      </c>
      <c r="I40" s="57"/>
      <c r="J40" s="57"/>
      <c r="K40" s="57"/>
      <c r="L40" s="57"/>
      <c r="M40" s="57"/>
      <c r="N40" s="57"/>
      <c r="O40" s="57"/>
      <c r="P40" s="57"/>
      <c r="Q40" s="57"/>
      <c r="R40" s="57"/>
      <c r="S40" s="133"/>
      <c r="T40" s="136"/>
      <c r="U40" s="140"/>
      <c r="V40" s="57"/>
      <c r="W40" s="57"/>
      <c r="X40" s="57"/>
      <c r="Y40" s="57"/>
      <c r="Z40" s="57"/>
      <c r="AA40" s="57"/>
      <c r="AB40" s="57"/>
      <c r="AC40" s="57"/>
      <c r="AD40" s="57"/>
      <c r="AE40" s="57"/>
      <c r="AF40" s="57"/>
      <c r="AG40" s="57"/>
      <c r="AH40" t="s">
        <v>657</v>
      </c>
      <c r="AI40" t="s">
        <v>658</v>
      </c>
      <c r="AL40" s="245"/>
      <c r="AO40" s="245">
        <v>421202</v>
      </c>
      <c r="AP40" t="s">
        <v>658</v>
      </c>
    </row>
    <row r="41" spans="1:42" x14ac:dyDescent="0.25">
      <c r="A41" s="57"/>
      <c r="B41" s="57"/>
      <c r="C41" s="57"/>
      <c r="D41" s="57"/>
      <c r="E41" s="57"/>
      <c r="F41" s="57" t="s">
        <v>371</v>
      </c>
      <c r="G41" s="57" t="s">
        <v>452</v>
      </c>
      <c r="H41" s="57" t="s">
        <v>115</v>
      </c>
      <c r="I41" s="57"/>
      <c r="J41" s="57"/>
      <c r="K41" s="57"/>
      <c r="L41" s="57"/>
      <c r="M41" s="57"/>
      <c r="N41" s="57"/>
      <c r="O41" s="57"/>
      <c r="P41" s="57"/>
      <c r="Q41" s="57"/>
      <c r="R41" s="57"/>
      <c r="S41" s="133"/>
      <c r="U41" s="140"/>
      <c r="V41" s="57"/>
      <c r="W41" s="57"/>
      <c r="X41" s="57"/>
      <c r="Y41" s="57"/>
      <c r="Z41" s="57"/>
      <c r="AA41" s="57"/>
      <c r="AB41" s="57"/>
      <c r="AC41" s="57"/>
      <c r="AD41" s="57"/>
      <c r="AE41" s="57"/>
      <c r="AF41" s="57"/>
      <c r="AG41" s="57"/>
      <c r="AH41" t="s">
        <v>659</v>
      </c>
      <c r="AI41" t="s">
        <v>660</v>
      </c>
      <c r="AL41" s="245"/>
      <c r="AO41" s="245">
        <v>4213</v>
      </c>
      <c r="AP41" t="s">
        <v>660</v>
      </c>
    </row>
    <row r="42" spans="1:42" x14ac:dyDescent="0.25">
      <c r="A42" s="57"/>
      <c r="B42" s="57"/>
      <c r="C42" s="57"/>
      <c r="D42" s="57"/>
      <c r="E42" s="57"/>
      <c r="F42" s="57" t="s">
        <v>376</v>
      </c>
      <c r="G42" s="57" t="s">
        <v>374</v>
      </c>
      <c r="H42" s="57" t="s">
        <v>117</v>
      </c>
      <c r="I42" s="57"/>
      <c r="J42" s="57"/>
      <c r="K42" s="57"/>
      <c r="L42" s="57"/>
      <c r="M42" s="57"/>
      <c r="N42" s="57"/>
      <c r="O42" s="57"/>
      <c r="P42" s="57"/>
      <c r="Q42" s="57"/>
      <c r="R42" s="57"/>
      <c r="S42" s="57"/>
      <c r="T42" s="136"/>
      <c r="U42" s="140"/>
      <c r="V42" s="57"/>
      <c r="W42" s="57"/>
      <c r="X42" s="57"/>
      <c r="Y42" s="57"/>
      <c r="Z42" s="57"/>
      <c r="AA42" s="57"/>
      <c r="AB42" s="57"/>
      <c r="AC42" s="57"/>
      <c r="AD42" s="57"/>
      <c r="AE42" s="57"/>
      <c r="AF42" s="57"/>
      <c r="AG42" s="57"/>
      <c r="AH42" t="s">
        <v>661</v>
      </c>
      <c r="AI42" t="s">
        <v>662</v>
      </c>
      <c r="AJ42" s="243"/>
      <c r="AL42" s="244"/>
      <c r="AM42" s="243"/>
      <c r="AO42" s="245">
        <v>421304</v>
      </c>
      <c r="AP42" t="s">
        <v>662</v>
      </c>
    </row>
    <row r="43" spans="1:42" x14ac:dyDescent="0.25">
      <c r="A43" s="57"/>
      <c r="B43" s="57"/>
      <c r="C43" s="57"/>
      <c r="D43" s="57"/>
      <c r="E43" s="57"/>
      <c r="F43" s="57" t="s">
        <v>377</v>
      </c>
      <c r="G43" s="57" t="s">
        <v>452</v>
      </c>
      <c r="H43" s="57" t="s">
        <v>115</v>
      </c>
      <c r="I43" s="57"/>
      <c r="J43" s="57"/>
      <c r="K43" s="57"/>
      <c r="L43" s="57"/>
      <c r="M43" s="57"/>
      <c r="N43" s="57"/>
      <c r="O43" s="57"/>
      <c r="P43" s="57"/>
      <c r="Q43" s="57"/>
      <c r="R43" s="57"/>
      <c r="S43" s="57"/>
      <c r="T43" s="136"/>
      <c r="U43" s="140"/>
      <c r="V43" s="57"/>
      <c r="W43" s="57"/>
      <c r="X43" s="57"/>
      <c r="Y43" s="57"/>
      <c r="Z43" s="57"/>
      <c r="AA43" s="57"/>
      <c r="AB43" s="57"/>
      <c r="AC43" s="57"/>
      <c r="AD43" s="57"/>
      <c r="AE43" s="57"/>
      <c r="AF43" s="57"/>
      <c r="AG43" s="57"/>
      <c r="AH43" t="s">
        <v>663</v>
      </c>
      <c r="AI43" t="s">
        <v>664</v>
      </c>
      <c r="AL43" s="245"/>
      <c r="AO43" s="245">
        <v>421305</v>
      </c>
      <c r="AP43" t="s">
        <v>664</v>
      </c>
    </row>
    <row r="44" spans="1:42" x14ac:dyDescent="0.25">
      <c r="A44" s="57"/>
      <c r="B44" s="57"/>
      <c r="C44" s="57"/>
      <c r="D44" s="57"/>
      <c r="E44" s="57"/>
      <c r="F44" s="57" t="s">
        <v>378</v>
      </c>
      <c r="G44" s="57" t="s">
        <v>373</v>
      </c>
      <c r="H44" s="57" t="s">
        <v>115</v>
      </c>
      <c r="I44" s="127"/>
      <c r="J44" s="57"/>
      <c r="K44" s="57"/>
      <c r="L44" s="57"/>
      <c r="M44" s="57"/>
      <c r="N44" s="57"/>
      <c r="O44" s="57"/>
      <c r="P44" s="57"/>
      <c r="Q44" s="57"/>
      <c r="R44" s="57"/>
      <c r="S44" s="57"/>
      <c r="T44" s="136"/>
      <c r="U44" s="140"/>
      <c r="V44" s="57"/>
      <c r="W44" s="57"/>
      <c r="X44" s="57"/>
      <c r="Y44" s="57"/>
      <c r="Z44" s="57"/>
      <c r="AA44" s="57"/>
      <c r="AB44" s="57"/>
      <c r="AC44" s="57"/>
      <c r="AD44" s="57"/>
      <c r="AE44" s="57"/>
      <c r="AF44" s="57"/>
      <c r="AG44" s="57"/>
      <c r="AI44" t="s">
        <v>666</v>
      </c>
      <c r="AL44" s="245"/>
      <c r="AP44" t="s">
        <v>666</v>
      </c>
    </row>
    <row r="45" spans="1:42" x14ac:dyDescent="0.25">
      <c r="A45" s="57"/>
      <c r="B45" s="57"/>
      <c r="C45" s="57"/>
      <c r="D45" s="57"/>
      <c r="E45" s="57"/>
      <c r="F45" s="57" t="s">
        <v>379</v>
      </c>
      <c r="G45" s="57" t="s">
        <v>452</v>
      </c>
      <c r="H45" s="57" t="s">
        <v>115</v>
      </c>
      <c r="I45" s="57"/>
      <c r="J45" s="57"/>
      <c r="K45" s="57"/>
      <c r="L45" s="57"/>
      <c r="M45" s="57"/>
      <c r="N45" s="57"/>
      <c r="O45" s="57"/>
      <c r="P45" s="57"/>
      <c r="Q45" s="57"/>
      <c r="R45" s="57"/>
      <c r="S45" s="57"/>
      <c r="T45" s="136"/>
      <c r="U45" s="132"/>
      <c r="V45" s="57"/>
      <c r="W45" s="57"/>
      <c r="X45" s="57"/>
      <c r="Y45" s="57"/>
      <c r="Z45" s="57"/>
      <c r="AA45" s="57"/>
      <c r="AB45" s="57"/>
      <c r="AC45" s="57"/>
      <c r="AD45" s="57"/>
      <c r="AE45" s="57"/>
      <c r="AF45" s="57"/>
      <c r="AG45" s="57"/>
      <c r="AH45" t="s">
        <v>671</v>
      </c>
      <c r="AI45" t="s">
        <v>672</v>
      </c>
      <c r="AL45" s="244"/>
      <c r="AM45" s="243"/>
      <c r="AO45" s="245">
        <v>421314</v>
      </c>
      <c r="AP45" t="s">
        <v>672</v>
      </c>
    </row>
    <row r="46" spans="1:42" x14ac:dyDescent="0.25">
      <c r="A46" s="57"/>
      <c r="B46" s="57"/>
      <c r="C46" s="57"/>
      <c r="D46" s="57"/>
      <c r="E46" s="57"/>
      <c r="F46" s="57" t="s">
        <v>380</v>
      </c>
      <c r="G46" s="57" t="s">
        <v>452</v>
      </c>
      <c r="H46" s="57" t="s">
        <v>115</v>
      </c>
      <c r="I46" s="57"/>
      <c r="J46" s="57"/>
      <c r="K46" s="57"/>
      <c r="L46" s="57"/>
      <c r="M46" s="57"/>
      <c r="N46" s="57"/>
      <c r="O46" s="57"/>
      <c r="P46" s="57"/>
      <c r="Q46" s="57"/>
      <c r="R46" s="57"/>
      <c r="S46" s="57"/>
      <c r="T46" s="136"/>
      <c r="U46" s="132"/>
      <c r="V46" s="57"/>
      <c r="W46" s="57"/>
      <c r="X46" s="57"/>
      <c r="Y46" s="57"/>
      <c r="Z46" s="57"/>
      <c r="AA46" s="57"/>
      <c r="AB46" s="57"/>
      <c r="AC46" s="57"/>
      <c r="AD46" s="57"/>
      <c r="AE46" s="57"/>
      <c r="AF46" s="57"/>
      <c r="AG46" s="57"/>
      <c r="AH46" t="s">
        <v>715</v>
      </c>
      <c r="AI46" t="s">
        <v>596</v>
      </c>
      <c r="AL46" s="245"/>
      <c r="AM46" s="243"/>
      <c r="AO46" s="245">
        <v>4217</v>
      </c>
      <c r="AP46" t="s">
        <v>596</v>
      </c>
    </row>
    <row r="47" spans="1:42" x14ac:dyDescent="0.25">
      <c r="A47" s="57"/>
      <c r="B47" s="57"/>
      <c r="C47" s="57"/>
      <c r="D47" s="57"/>
      <c r="E47" s="57"/>
      <c r="F47" s="57" t="s">
        <v>381</v>
      </c>
      <c r="G47" s="57" t="s">
        <v>373</v>
      </c>
      <c r="H47" s="57" t="s">
        <v>121</v>
      </c>
      <c r="I47" s="127" t="s">
        <v>450</v>
      </c>
      <c r="J47" s="57"/>
      <c r="K47" s="57"/>
      <c r="L47" s="57"/>
      <c r="M47" s="57"/>
      <c r="N47" s="57"/>
      <c r="O47" s="57"/>
      <c r="P47" s="57"/>
      <c r="Q47" s="57"/>
      <c r="R47" s="57"/>
      <c r="S47" s="57"/>
      <c r="T47" s="136"/>
      <c r="U47" s="132"/>
      <c r="V47" s="57"/>
      <c r="W47" s="57"/>
      <c r="X47" s="57"/>
      <c r="Y47" s="57"/>
      <c r="Z47" s="57"/>
      <c r="AA47" s="57"/>
      <c r="AB47" s="57"/>
      <c r="AC47" s="57"/>
      <c r="AD47" s="57"/>
      <c r="AE47" s="57"/>
      <c r="AF47" s="57"/>
      <c r="AG47" s="57"/>
      <c r="AH47" t="s">
        <v>673</v>
      </c>
      <c r="AI47" t="s">
        <v>674</v>
      </c>
      <c r="AL47" s="245"/>
      <c r="AO47" s="245">
        <v>4218</v>
      </c>
      <c r="AP47" t="s">
        <v>674</v>
      </c>
    </row>
    <row r="48" spans="1:42" x14ac:dyDescent="0.25">
      <c r="A48" s="57"/>
      <c r="B48" s="57"/>
      <c r="C48" s="57"/>
      <c r="D48" s="57"/>
      <c r="E48" s="57"/>
      <c r="F48" s="57" t="s">
        <v>382</v>
      </c>
      <c r="G48" s="57" t="s">
        <v>373</v>
      </c>
      <c r="H48" s="57" t="s">
        <v>121</v>
      </c>
      <c r="I48" s="127" t="s">
        <v>450</v>
      </c>
      <c r="J48" s="57"/>
      <c r="K48" s="57"/>
      <c r="L48" s="57"/>
      <c r="M48" s="57"/>
      <c r="N48" s="57"/>
      <c r="O48" s="57"/>
      <c r="P48" s="57"/>
      <c r="Q48" s="57"/>
      <c r="R48" s="57"/>
      <c r="S48" s="57"/>
      <c r="T48" s="136"/>
      <c r="U48" s="132"/>
      <c r="V48" s="57"/>
      <c r="W48" s="57"/>
      <c r="X48" s="57"/>
      <c r="Y48" s="57"/>
      <c r="Z48" s="57"/>
      <c r="AA48" s="57"/>
      <c r="AB48" s="57"/>
      <c r="AC48" s="57"/>
      <c r="AD48" s="57"/>
      <c r="AE48" s="57"/>
      <c r="AF48" s="57"/>
      <c r="AG48" s="57"/>
      <c r="AH48" s="244" t="s">
        <v>716</v>
      </c>
      <c r="AI48" s="243" t="s">
        <v>717</v>
      </c>
      <c r="AL48" s="245"/>
      <c r="AO48" s="244">
        <v>422</v>
      </c>
      <c r="AP48" s="243" t="s">
        <v>717</v>
      </c>
    </row>
    <row r="49" spans="1:42" x14ac:dyDescent="0.25">
      <c r="A49" s="57"/>
      <c r="B49" s="57"/>
      <c r="C49" s="57"/>
      <c r="D49" s="57"/>
      <c r="E49" s="57"/>
      <c r="F49" s="57" t="s">
        <v>383</v>
      </c>
      <c r="G49" s="57" t="s">
        <v>373</v>
      </c>
      <c r="H49" s="57" t="s">
        <v>119</v>
      </c>
      <c r="I49" s="127" t="s">
        <v>450</v>
      </c>
      <c r="J49" s="57"/>
      <c r="K49" s="57"/>
      <c r="L49" s="57"/>
      <c r="M49" s="57"/>
      <c r="N49" s="57"/>
      <c r="O49" s="57"/>
      <c r="P49" s="57"/>
      <c r="Q49" s="57"/>
      <c r="R49" s="57"/>
      <c r="S49" s="57"/>
      <c r="U49" s="132"/>
      <c r="V49" s="57"/>
      <c r="W49" s="57"/>
      <c r="X49" s="57"/>
      <c r="Y49" s="57"/>
      <c r="Z49" s="57"/>
      <c r="AA49" s="57"/>
      <c r="AB49" s="57"/>
      <c r="AC49" s="57"/>
      <c r="AD49" s="57"/>
      <c r="AE49" s="57"/>
      <c r="AF49" s="57"/>
      <c r="AG49" s="57"/>
      <c r="AH49" s="244" t="s">
        <v>718</v>
      </c>
      <c r="AI49" t="s">
        <v>597</v>
      </c>
      <c r="AL49" s="244"/>
      <c r="AM49" s="243"/>
      <c r="AO49" s="244">
        <v>4221</v>
      </c>
      <c r="AP49" t="s">
        <v>597</v>
      </c>
    </row>
    <row r="50" spans="1:42" x14ac:dyDescent="0.25">
      <c r="A50" s="57"/>
      <c r="B50" s="57"/>
      <c r="C50" s="57"/>
      <c r="D50" s="57"/>
      <c r="E50" s="57"/>
      <c r="F50" s="57" t="s">
        <v>384</v>
      </c>
      <c r="G50" s="57" t="s">
        <v>373</v>
      </c>
      <c r="H50" s="57" t="s">
        <v>121</v>
      </c>
      <c r="I50" s="57"/>
      <c r="J50" s="57"/>
      <c r="K50" s="57"/>
      <c r="L50" s="57"/>
      <c r="M50" s="57"/>
      <c r="N50" s="57"/>
      <c r="O50" s="57"/>
      <c r="P50" s="57"/>
      <c r="Q50" s="57"/>
      <c r="R50" s="57"/>
      <c r="S50" s="57"/>
      <c r="T50" s="136"/>
      <c r="U50" s="132"/>
      <c r="V50" s="57"/>
      <c r="W50" s="57"/>
      <c r="X50" s="57"/>
      <c r="Y50" s="57"/>
      <c r="Z50" s="57"/>
      <c r="AA50" s="57"/>
      <c r="AB50" s="57"/>
      <c r="AC50" s="57"/>
      <c r="AD50" s="57"/>
      <c r="AE50" s="57"/>
      <c r="AF50" s="57"/>
      <c r="AG50" s="57"/>
      <c r="AH50" t="s">
        <v>675</v>
      </c>
      <c r="AI50" t="s">
        <v>676</v>
      </c>
      <c r="AO50" s="245">
        <v>422101</v>
      </c>
      <c r="AP50" t="s">
        <v>676</v>
      </c>
    </row>
    <row r="51" spans="1:42" x14ac:dyDescent="0.25">
      <c r="A51" s="57"/>
      <c r="B51" s="57"/>
      <c r="C51" s="57"/>
      <c r="D51" s="57"/>
      <c r="E51" s="57"/>
      <c r="F51" s="57" t="s">
        <v>385</v>
      </c>
      <c r="G51" s="57" t="s">
        <v>373</v>
      </c>
      <c r="H51" s="57" t="s">
        <v>121</v>
      </c>
      <c r="I51" s="127" t="s">
        <v>450</v>
      </c>
      <c r="J51" s="57"/>
      <c r="K51" s="57"/>
      <c r="L51" s="57"/>
      <c r="M51" s="57"/>
      <c r="N51" s="57"/>
      <c r="O51" s="57"/>
      <c r="P51" s="57"/>
      <c r="Q51" s="57"/>
      <c r="R51" s="57"/>
      <c r="S51" s="57"/>
      <c r="T51" s="136"/>
      <c r="U51" s="132"/>
      <c r="V51" s="57"/>
      <c r="W51" s="57"/>
      <c r="X51" s="57"/>
      <c r="Y51" s="57"/>
      <c r="Z51" s="57"/>
      <c r="AA51" s="57"/>
      <c r="AB51" s="57"/>
      <c r="AC51" s="57"/>
      <c r="AD51" s="57"/>
      <c r="AE51" s="57"/>
      <c r="AF51" s="57"/>
      <c r="AG51" s="57"/>
      <c r="AH51" t="s">
        <v>677</v>
      </c>
      <c r="AI51" t="s">
        <v>678</v>
      </c>
      <c r="AO51" s="245">
        <v>422102</v>
      </c>
      <c r="AP51" t="s">
        <v>678</v>
      </c>
    </row>
    <row r="52" spans="1:42" x14ac:dyDescent="0.25">
      <c r="A52" s="57"/>
      <c r="B52" s="57"/>
      <c r="C52" s="57"/>
      <c r="D52" s="57"/>
      <c r="E52" s="57"/>
      <c r="F52" s="57" t="s">
        <v>386</v>
      </c>
      <c r="G52" s="57" t="s">
        <v>373</v>
      </c>
      <c r="H52" s="57" t="s">
        <v>115</v>
      </c>
      <c r="I52" s="127" t="s">
        <v>450</v>
      </c>
      <c r="J52" s="57"/>
      <c r="K52" s="57"/>
      <c r="L52" s="57"/>
      <c r="M52" s="57"/>
      <c r="N52" s="57"/>
      <c r="O52" s="57"/>
      <c r="P52" s="57"/>
      <c r="Q52" s="57"/>
      <c r="R52" s="57"/>
      <c r="S52" s="57"/>
      <c r="T52" s="136"/>
      <c r="U52" s="132"/>
      <c r="V52" s="57"/>
      <c r="W52" s="57"/>
      <c r="X52" s="57"/>
      <c r="Y52" s="57"/>
      <c r="Z52" s="57"/>
      <c r="AA52" s="57"/>
      <c r="AB52" s="57"/>
      <c r="AC52" s="57"/>
      <c r="AD52" s="57"/>
      <c r="AE52" s="57"/>
      <c r="AF52" s="57"/>
      <c r="AG52" s="57"/>
      <c r="AH52" s="244" t="s">
        <v>669</v>
      </c>
      <c r="AI52" t="s">
        <v>598</v>
      </c>
      <c r="AO52" s="244">
        <v>4222</v>
      </c>
      <c r="AP52" t="s">
        <v>598</v>
      </c>
    </row>
    <row r="53" spans="1:42" x14ac:dyDescent="0.25">
      <c r="A53" s="57"/>
      <c r="B53" s="57"/>
      <c r="C53" s="57"/>
      <c r="D53" s="57"/>
      <c r="E53" s="57"/>
      <c r="F53" s="57" t="s">
        <v>387</v>
      </c>
      <c r="G53" s="57" t="s">
        <v>373</v>
      </c>
      <c r="H53" s="57" t="s">
        <v>116</v>
      </c>
      <c r="I53" s="127" t="s">
        <v>450</v>
      </c>
      <c r="J53" s="57"/>
      <c r="K53" s="57"/>
      <c r="L53" s="57"/>
      <c r="M53" s="57"/>
      <c r="N53" s="57"/>
      <c r="O53" s="57"/>
      <c r="P53" s="57"/>
      <c r="Q53" s="57"/>
      <c r="R53" s="57"/>
      <c r="S53" s="57"/>
      <c r="T53" s="136"/>
      <c r="U53" s="132"/>
      <c r="V53" s="57"/>
      <c r="W53" s="57"/>
      <c r="X53" s="57"/>
      <c r="Y53" s="57"/>
      <c r="Z53" s="57"/>
      <c r="AA53" s="57"/>
      <c r="AB53" s="57"/>
      <c r="AC53" s="57"/>
      <c r="AD53" s="57"/>
      <c r="AE53" s="57"/>
      <c r="AF53" s="57"/>
      <c r="AG53" s="57"/>
      <c r="AH53" t="s">
        <v>679</v>
      </c>
      <c r="AI53" t="s">
        <v>676</v>
      </c>
      <c r="AO53" s="245">
        <v>422201</v>
      </c>
      <c r="AP53" t="s">
        <v>676</v>
      </c>
    </row>
    <row r="54" spans="1:42" x14ac:dyDescent="0.25">
      <c r="A54" s="57"/>
      <c r="B54" s="57"/>
      <c r="C54" s="57"/>
      <c r="D54" s="57"/>
      <c r="E54" s="57"/>
      <c r="F54" s="57" t="s">
        <v>388</v>
      </c>
      <c r="G54" s="57" t="s">
        <v>373</v>
      </c>
      <c r="H54" s="57" t="s">
        <v>92</v>
      </c>
      <c r="I54" s="127" t="s">
        <v>450</v>
      </c>
      <c r="J54" s="57"/>
      <c r="K54" s="57"/>
      <c r="L54" s="57"/>
      <c r="M54" s="57"/>
      <c r="N54" s="57"/>
      <c r="O54" s="57"/>
      <c r="P54" s="57"/>
      <c r="Q54" s="57"/>
      <c r="R54" s="57"/>
      <c r="S54" s="57"/>
      <c r="T54" s="136"/>
      <c r="U54" s="142"/>
      <c r="V54" s="57"/>
      <c r="W54" s="57"/>
      <c r="X54" s="57"/>
      <c r="Y54" s="57"/>
      <c r="Z54" s="57"/>
      <c r="AA54" s="57"/>
      <c r="AB54" s="57"/>
      <c r="AC54" s="57"/>
      <c r="AD54" s="57"/>
      <c r="AE54" s="57"/>
      <c r="AF54" s="57"/>
      <c r="AG54" s="57"/>
      <c r="AH54" t="s">
        <v>680</v>
      </c>
      <c r="AI54" t="s">
        <v>678</v>
      </c>
      <c r="AO54" s="245">
        <v>422202</v>
      </c>
      <c r="AP54" t="s">
        <v>678</v>
      </c>
    </row>
    <row r="55" spans="1:42" x14ac:dyDescent="0.25">
      <c r="A55" s="57"/>
      <c r="B55" s="57"/>
      <c r="C55" s="57"/>
      <c r="D55" s="57"/>
      <c r="E55" s="57"/>
      <c r="F55" s="57" t="s">
        <v>389</v>
      </c>
      <c r="G55" s="57" t="s">
        <v>373</v>
      </c>
      <c r="H55" s="57" t="s">
        <v>118</v>
      </c>
      <c r="I55" s="127" t="s">
        <v>450</v>
      </c>
      <c r="J55" s="57"/>
      <c r="K55" s="57"/>
      <c r="L55" s="57"/>
      <c r="M55" s="57"/>
      <c r="N55" s="57"/>
      <c r="O55" s="57"/>
      <c r="P55" s="57"/>
      <c r="Q55" s="57"/>
      <c r="R55" s="57"/>
      <c r="S55" s="57"/>
      <c r="T55" s="136"/>
      <c r="U55" s="132"/>
      <c r="V55" s="57"/>
      <c r="W55" s="57"/>
      <c r="X55" s="57"/>
      <c r="Y55" s="57"/>
      <c r="Z55" s="57"/>
      <c r="AA55" s="57"/>
      <c r="AB55" s="57"/>
      <c r="AC55" s="57"/>
      <c r="AD55" s="57"/>
      <c r="AE55" s="57"/>
      <c r="AF55" s="57"/>
      <c r="AG55" s="57"/>
      <c r="AH55" t="s">
        <v>682</v>
      </c>
      <c r="AI55" t="s">
        <v>683</v>
      </c>
      <c r="AL55" s="243"/>
      <c r="AO55" s="245">
        <v>422203</v>
      </c>
      <c r="AP55" t="s">
        <v>683</v>
      </c>
    </row>
    <row r="56" spans="1:42" x14ac:dyDescent="0.25">
      <c r="A56" s="57"/>
      <c r="B56" s="57"/>
      <c r="C56" s="57"/>
      <c r="D56" s="57"/>
      <c r="E56" s="57"/>
      <c r="F56" s="57" t="s">
        <v>390</v>
      </c>
      <c r="G56" s="57" t="s">
        <v>373</v>
      </c>
      <c r="H56" s="57" t="s">
        <v>121</v>
      </c>
      <c r="I56" s="127"/>
      <c r="J56" s="57"/>
      <c r="K56" s="57"/>
      <c r="L56" s="57"/>
      <c r="M56" s="57"/>
      <c r="N56" s="57"/>
      <c r="O56" s="57"/>
      <c r="P56" s="57"/>
      <c r="Q56" s="57"/>
      <c r="R56" s="57"/>
      <c r="S56" s="57"/>
      <c r="T56" s="138"/>
      <c r="U56" s="132"/>
      <c r="V56" s="57"/>
      <c r="W56" s="57"/>
      <c r="X56" s="57"/>
      <c r="Y56" s="57"/>
      <c r="Z56" s="57"/>
      <c r="AA56" s="57"/>
      <c r="AB56" s="57"/>
      <c r="AC56" s="57"/>
      <c r="AD56" s="57"/>
      <c r="AE56" s="57"/>
      <c r="AF56" s="57"/>
      <c r="AG56" s="57"/>
      <c r="AH56" s="244" t="s">
        <v>681</v>
      </c>
      <c r="AI56" s="243" t="s">
        <v>599</v>
      </c>
      <c r="AO56" s="244">
        <v>423</v>
      </c>
      <c r="AP56" s="243" t="s">
        <v>599</v>
      </c>
    </row>
    <row r="57" spans="1:42" x14ac:dyDescent="0.25">
      <c r="A57" s="57"/>
      <c r="B57" s="57"/>
      <c r="C57" s="57"/>
      <c r="D57" s="57"/>
      <c r="E57" s="57"/>
      <c r="F57" s="57" t="s">
        <v>182</v>
      </c>
      <c r="G57" s="57" t="s">
        <v>342</v>
      </c>
      <c r="H57" s="57" t="s">
        <v>117</v>
      </c>
      <c r="I57" s="127" t="s">
        <v>450</v>
      </c>
      <c r="J57" s="57"/>
      <c r="K57" s="57"/>
      <c r="L57" s="57"/>
      <c r="M57" s="57"/>
      <c r="N57" s="57"/>
      <c r="O57" s="57"/>
      <c r="P57" s="57"/>
      <c r="Q57" s="57"/>
      <c r="R57" s="57"/>
      <c r="S57" s="57"/>
      <c r="U57" s="132"/>
      <c r="V57" s="57"/>
      <c r="W57" s="57"/>
      <c r="X57" s="57"/>
      <c r="Y57" s="57"/>
      <c r="Z57" s="57"/>
      <c r="AA57" s="57"/>
      <c r="AB57" s="57"/>
      <c r="AC57" s="57"/>
      <c r="AD57" s="57"/>
      <c r="AE57" s="57"/>
      <c r="AF57" s="57"/>
      <c r="AG57" s="57"/>
      <c r="AH57" s="244" t="s">
        <v>719</v>
      </c>
      <c r="AI57" s="243" t="s">
        <v>600</v>
      </c>
      <c r="AO57" s="244">
        <v>42301</v>
      </c>
      <c r="AP57" s="243" t="s">
        <v>600</v>
      </c>
    </row>
    <row r="58" spans="1:42" x14ac:dyDescent="0.25">
      <c r="A58" s="57"/>
      <c r="B58" s="57"/>
      <c r="C58" s="57"/>
      <c r="D58" s="57"/>
      <c r="E58" s="57"/>
      <c r="F58" s="57" t="s">
        <v>183</v>
      </c>
      <c r="G58" s="57" t="s">
        <v>342</v>
      </c>
      <c r="H58" s="57" t="s">
        <v>123</v>
      </c>
      <c r="I58" s="127" t="s">
        <v>450</v>
      </c>
      <c r="J58" s="57"/>
      <c r="K58" s="57"/>
      <c r="L58" s="57"/>
      <c r="M58" s="57"/>
      <c r="N58" s="57"/>
      <c r="O58" s="57"/>
      <c r="P58" s="57"/>
      <c r="Q58" s="57"/>
      <c r="R58" s="57"/>
      <c r="S58" s="57"/>
      <c r="T58" s="136"/>
      <c r="U58" s="132"/>
      <c r="V58" s="57"/>
      <c r="W58" s="57"/>
      <c r="X58" s="57"/>
      <c r="Y58" s="57"/>
      <c r="Z58" s="57"/>
      <c r="AA58" s="57"/>
      <c r="AB58" s="57"/>
      <c r="AC58" s="57"/>
      <c r="AD58" s="57"/>
      <c r="AE58" s="57"/>
      <c r="AF58" s="57"/>
      <c r="AG58" s="57"/>
      <c r="AH58" t="s">
        <v>668</v>
      </c>
      <c r="AI58" t="s">
        <v>660</v>
      </c>
      <c r="AO58" s="245">
        <v>4233</v>
      </c>
      <c r="AP58" t="s">
        <v>660</v>
      </c>
    </row>
    <row r="59" spans="1:42" x14ac:dyDescent="0.25">
      <c r="A59" s="57"/>
      <c r="B59" s="57"/>
      <c r="C59" s="57"/>
      <c r="D59" s="57"/>
      <c r="E59" s="57"/>
      <c r="F59" s="57" t="s">
        <v>184</v>
      </c>
      <c r="G59" s="57" t="s">
        <v>342</v>
      </c>
      <c r="H59" s="57" t="s">
        <v>120</v>
      </c>
      <c r="I59" s="127" t="s">
        <v>450</v>
      </c>
      <c r="J59" s="57"/>
      <c r="K59" s="57"/>
      <c r="L59" s="57"/>
      <c r="M59" s="57"/>
      <c r="N59" s="57"/>
      <c r="O59" s="57"/>
      <c r="P59" s="57"/>
      <c r="Q59" s="57"/>
      <c r="R59" s="57"/>
      <c r="S59" s="57"/>
      <c r="T59" s="136"/>
      <c r="U59" s="132"/>
      <c r="V59" s="57"/>
      <c r="W59" s="57"/>
      <c r="X59" s="57"/>
      <c r="Y59" s="57"/>
      <c r="Z59" s="57"/>
      <c r="AA59" s="57"/>
      <c r="AB59" s="57"/>
      <c r="AC59" s="57"/>
      <c r="AD59" s="57"/>
      <c r="AE59" s="57"/>
      <c r="AF59" s="57"/>
      <c r="AG59" s="57"/>
      <c r="AH59" t="s">
        <v>721</v>
      </c>
      <c r="AI59" t="s">
        <v>722</v>
      </c>
      <c r="AJ59" s="243"/>
      <c r="AO59" s="245">
        <v>423301</v>
      </c>
      <c r="AP59" t="s">
        <v>722</v>
      </c>
    </row>
    <row r="60" spans="1:42" x14ac:dyDescent="0.25">
      <c r="A60" s="57"/>
      <c r="B60" s="57"/>
      <c r="C60" s="57"/>
      <c r="D60" s="57"/>
      <c r="E60" s="57"/>
      <c r="F60" s="57" t="s">
        <v>391</v>
      </c>
      <c r="G60" s="57" t="s">
        <v>373</v>
      </c>
      <c r="H60" s="57" t="s">
        <v>115</v>
      </c>
      <c r="I60" s="127" t="s">
        <v>450</v>
      </c>
      <c r="J60" s="57"/>
      <c r="K60" s="57"/>
      <c r="L60" s="57"/>
      <c r="M60" s="57"/>
      <c r="N60" s="57"/>
      <c r="O60" s="57"/>
      <c r="P60" s="57"/>
      <c r="Q60" s="57"/>
      <c r="R60" s="57"/>
      <c r="S60" s="57"/>
      <c r="U60" s="132"/>
      <c r="V60" s="57"/>
      <c r="W60" s="57"/>
      <c r="X60" s="57"/>
      <c r="Y60" s="57"/>
      <c r="Z60" s="57"/>
      <c r="AA60" s="57"/>
      <c r="AB60" s="57"/>
      <c r="AC60" s="57"/>
      <c r="AD60" s="57"/>
      <c r="AE60" s="57"/>
      <c r="AF60" s="57"/>
      <c r="AG60" s="57"/>
      <c r="AH60" t="s">
        <v>723</v>
      </c>
      <c r="AI60" t="s">
        <v>724</v>
      </c>
      <c r="AL60" s="245"/>
      <c r="AM60" s="243"/>
      <c r="AO60" s="245">
        <v>423302</v>
      </c>
      <c r="AP60" t="s">
        <v>724</v>
      </c>
    </row>
    <row r="61" spans="1:42" x14ac:dyDescent="0.25">
      <c r="A61" s="57"/>
      <c r="B61" s="57"/>
      <c r="C61" s="57"/>
      <c r="D61" s="57"/>
      <c r="E61" s="57"/>
      <c r="F61" s="57" t="s">
        <v>392</v>
      </c>
      <c r="G61" s="57" t="s">
        <v>393</v>
      </c>
      <c r="H61" s="57" t="s">
        <v>116</v>
      </c>
      <c r="I61" s="57"/>
      <c r="J61" s="57"/>
      <c r="K61" s="57"/>
      <c r="L61" s="57"/>
      <c r="M61" s="57"/>
      <c r="N61" s="57"/>
      <c r="O61" s="57"/>
      <c r="P61" s="57"/>
      <c r="Q61" s="57"/>
      <c r="R61" s="57"/>
      <c r="S61" s="57"/>
      <c r="T61" s="138" t="s">
        <v>455</v>
      </c>
      <c r="U61" s="132"/>
      <c r="V61" s="57"/>
      <c r="W61" s="57"/>
      <c r="X61" s="57"/>
      <c r="Y61" s="57"/>
      <c r="Z61" s="57"/>
      <c r="AA61" s="57"/>
      <c r="AB61" s="57"/>
      <c r="AC61" s="57"/>
      <c r="AD61" s="57"/>
      <c r="AE61" s="57"/>
      <c r="AF61" s="57"/>
      <c r="AG61" s="57"/>
      <c r="AH61" t="s">
        <v>686</v>
      </c>
      <c r="AI61" t="s">
        <v>664</v>
      </c>
      <c r="AL61" s="245"/>
      <c r="AM61" s="243"/>
      <c r="AO61" s="245">
        <v>423305</v>
      </c>
      <c r="AP61" t="s">
        <v>664</v>
      </c>
    </row>
    <row r="62" spans="1:42" x14ac:dyDescent="0.25">
      <c r="A62" s="57"/>
      <c r="B62" s="57"/>
      <c r="C62" s="57"/>
      <c r="D62" s="57"/>
      <c r="E62" s="57"/>
      <c r="F62" s="57" t="s">
        <v>187</v>
      </c>
      <c r="G62" s="57" t="s">
        <v>329</v>
      </c>
      <c r="H62" s="57" t="s">
        <v>117</v>
      </c>
      <c r="I62" s="57"/>
      <c r="J62" s="57"/>
      <c r="K62" s="57"/>
      <c r="L62" s="57"/>
      <c r="M62" s="57"/>
      <c r="N62" s="57"/>
      <c r="O62" s="57"/>
      <c r="P62" s="57"/>
      <c r="Q62" s="57"/>
      <c r="R62" s="57"/>
      <c r="S62" s="57"/>
      <c r="T62" s="138" t="s">
        <v>3</v>
      </c>
      <c r="U62" s="132"/>
      <c r="V62" s="57"/>
      <c r="W62" s="57"/>
      <c r="X62" s="57"/>
      <c r="Y62" s="57"/>
      <c r="Z62" s="57"/>
      <c r="AA62" s="57"/>
      <c r="AB62" s="57"/>
      <c r="AC62" s="57"/>
      <c r="AD62" s="57"/>
      <c r="AE62" s="57"/>
      <c r="AF62" s="57"/>
      <c r="AG62" s="57"/>
      <c r="AH62" t="s">
        <v>684</v>
      </c>
      <c r="AI62" t="s">
        <v>685</v>
      </c>
      <c r="AL62" s="245"/>
      <c r="AM62" s="243"/>
      <c r="AO62" s="245">
        <v>423307</v>
      </c>
      <c r="AP62" t="s">
        <v>685</v>
      </c>
    </row>
    <row r="63" spans="1:42" x14ac:dyDescent="0.25">
      <c r="A63" s="57"/>
      <c r="B63" s="57"/>
      <c r="C63" s="57"/>
      <c r="D63" s="57"/>
      <c r="E63" s="57"/>
      <c r="F63" s="57" t="s">
        <v>188</v>
      </c>
      <c r="G63" s="57" t="s">
        <v>329</v>
      </c>
      <c r="H63" s="57" t="s">
        <v>121</v>
      </c>
      <c r="I63" s="57"/>
      <c r="J63" s="57"/>
      <c r="K63" s="57"/>
      <c r="L63" s="57"/>
      <c r="M63" s="57"/>
      <c r="N63" s="57"/>
      <c r="O63" s="57"/>
      <c r="P63" s="57"/>
      <c r="Q63" s="57"/>
      <c r="R63" s="57"/>
      <c r="S63" s="57"/>
      <c r="T63" s="138" t="s">
        <v>5</v>
      </c>
      <c r="U63" s="132"/>
      <c r="V63" s="57"/>
      <c r="W63" s="57"/>
      <c r="X63" s="57"/>
      <c r="Y63" s="57"/>
      <c r="Z63" s="57"/>
      <c r="AA63" s="57"/>
      <c r="AB63" s="57"/>
      <c r="AC63" s="57"/>
      <c r="AD63" s="57"/>
      <c r="AE63" s="57"/>
      <c r="AF63" s="57"/>
      <c r="AG63" s="57"/>
      <c r="AH63" t="s">
        <v>667</v>
      </c>
      <c r="AI63" t="s">
        <v>665</v>
      </c>
      <c r="AL63" s="245"/>
      <c r="AM63" s="243"/>
      <c r="AO63" s="245">
        <v>423313</v>
      </c>
      <c r="AP63" t="s">
        <v>665</v>
      </c>
    </row>
    <row r="64" spans="1:42" x14ac:dyDescent="0.25">
      <c r="A64" s="57"/>
      <c r="B64" s="57"/>
      <c r="C64" s="57"/>
      <c r="D64" s="57"/>
      <c r="E64" s="57"/>
      <c r="F64" s="57" t="s">
        <v>189</v>
      </c>
      <c r="G64" s="57" t="s">
        <v>329</v>
      </c>
      <c r="H64" s="57" t="s">
        <v>123</v>
      </c>
      <c r="I64" s="57"/>
      <c r="J64" s="57"/>
      <c r="K64" s="57"/>
      <c r="L64" s="57"/>
      <c r="M64" s="57"/>
      <c r="N64" s="57"/>
      <c r="O64" s="57"/>
      <c r="P64" s="57"/>
      <c r="Q64" s="57"/>
      <c r="R64" s="57"/>
      <c r="S64" s="57"/>
      <c r="T64" s="138" t="s">
        <v>80</v>
      </c>
      <c r="U64" s="132"/>
      <c r="V64" s="57"/>
      <c r="W64" s="57"/>
      <c r="X64" s="57"/>
      <c r="Y64" s="57"/>
      <c r="Z64" s="57"/>
      <c r="AA64" s="57"/>
      <c r="AB64" s="57"/>
      <c r="AC64" s="57"/>
      <c r="AD64" s="57"/>
      <c r="AE64" s="57"/>
      <c r="AF64" s="57"/>
      <c r="AG64" s="57"/>
      <c r="AH64" t="s">
        <v>720</v>
      </c>
      <c r="AI64" t="s">
        <v>726</v>
      </c>
      <c r="AL64" s="245"/>
      <c r="AM64" s="243"/>
      <c r="AO64" s="245">
        <v>4234</v>
      </c>
      <c r="AP64" t="s">
        <v>726</v>
      </c>
    </row>
    <row r="65" spans="1:42" x14ac:dyDescent="0.25">
      <c r="A65" s="57"/>
      <c r="B65" s="57"/>
      <c r="C65" s="57"/>
      <c r="D65" s="57"/>
      <c r="E65" s="57"/>
      <c r="F65" s="57" t="s">
        <v>190</v>
      </c>
      <c r="G65" s="57" t="s">
        <v>329</v>
      </c>
      <c r="H65" s="57" t="s">
        <v>115</v>
      </c>
      <c r="I65" s="57"/>
      <c r="J65" s="57"/>
      <c r="K65" s="57"/>
      <c r="L65" s="57"/>
      <c r="M65" s="57"/>
      <c r="N65" s="57"/>
      <c r="O65" s="57"/>
      <c r="P65" s="57"/>
      <c r="Q65" s="57"/>
      <c r="R65" s="57"/>
      <c r="S65" s="57"/>
      <c r="T65" s="138" t="s">
        <v>456</v>
      </c>
      <c r="U65" s="132"/>
      <c r="V65" s="57"/>
      <c r="W65" s="57"/>
      <c r="X65" s="57"/>
      <c r="Y65" s="57"/>
      <c r="Z65" s="57"/>
      <c r="AA65" s="57"/>
      <c r="AB65" s="57"/>
      <c r="AC65" s="57"/>
      <c r="AD65" s="57"/>
      <c r="AE65" s="57"/>
      <c r="AF65" s="57"/>
      <c r="AG65" s="57"/>
      <c r="AH65" t="s">
        <v>725</v>
      </c>
      <c r="AI65" t="s">
        <v>601</v>
      </c>
      <c r="AO65" s="245">
        <v>423401</v>
      </c>
      <c r="AP65" t="s">
        <v>601</v>
      </c>
    </row>
    <row r="66" spans="1:42" x14ac:dyDescent="0.25">
      <c r="A66" s="57"/>
      <c r="B66" s="57"/>
      <c r="C66" s="57"/>
      <c r="D66" s="57"/>
      <c r="E66" s="57"/>
      <c r="F66" s="57" t="s">
        <v>191</v>
      </c>
      <c r="G66" s="57" t="s">
        <v>356</v>
      </c>
      <c r="H66" s="57" t="s">
        <v>120</v>
      </c>
      <c r="I66" s="57"/>
      <c r="J66" s="57"/>
      <c r="K66" s="57"/>
      <c r="L66" s="57"/>
      <c r="M66" s="57"/>
      <c r="N66" s="57"/>
      <c r="O66" s="57"/>
      <c r="P66" s="57"/>
      <c r="Q66" s="57"/>
      <c r="R66" s="57"/>
      <c r="S66" s="57"/>
      <c r="T66" s="138" t="s">
        <v>457</v>
      </c>
      <c r="U66" s="132"/>
      <c r="V66" s="57"/>
      <c r="W66" s="57"/>
      <c r="X66" s="57"/>
      <c r="Y66" s="57"/>
      <c r="Z66" s="57"/>
      <c r="AA66" s="57"/>
      <c r="AB66" s="57"/>
      <c r="AC66" s="57"/>
      <c r="AD66" s="57"/>
      <c r="AE66" s="57"/>
      <c r="AF66" s="57"/>
      <c r="AG66" s="57"/>
      <c r="AH66" s="244" t="s">
        <v>727</v>
      </c>
      <c r="AI66" s="243" t="s">
        <v>607</v>
      </c>
      <c r="AO66" s="244">
        <v>44</v>
      </c>
      <c r="AP66" s="243" t="s">
        <v>607</v>
      </c>
    </row>
    <row r="67" spans="1:42" x14ac:dyDescent="0.25">
      <c r="A67" s="57"/>
      <c r="B67" s="57"/>
      <c r="C67" s="57"/>
      <c r="D67" s="57"/>
      <c r="E67" s="57"/>
      <c r="F67" s="57" t="s">
        <v>192</v>
      </c>
      <c r="G67" s="57" t="s">
        <v>329</v>
      </c>
      <c r="H67" s="57" t="s">
        <v>120</v>
      </c>
      <c r="I67" s="57"/>
      <c r="J67" s="57"/>
      <c r="K67" s="57"/>
      <c r="L67" s="57"/>
      <c r="M67" s="57"/>
      <c r="N67" s="57"/>
      <c r="O67" s="57"/>
      <c r="P67" s="57"/>
      <c r="Q67" s="57"/>
      <c r="R67" s="57"/>
      <c r="S67" s="57"/>
      <c r="U67" s="132"/>
      <c r="V67" s="57"/>
      <c r="W67" s="57"/>
      <c r="X67" s="57"/>
      <c r="Y67" s="57"/>
      <c r="Z67" s="57"/>
      <c r="AA67" s="57"/>
      <c r="AB67" s="57"/>
      <c r="AC67" s="57"/>
      <c r="AD67" s="57"/>
      <c r="AE67" s="57"/>
      <c r="AF67" s="57"/>
      <c r="AG67" s="57"/>
    </row>
    <row r="68" spans="1:42" x14ac:dyDescent="0.25">
      <c r="A68" s="57"/>
      <c r="B68" s="57"/>
      <c r="C68" s="57"/>
      <c r="D68" s="57"/>
      <c r="E68" s="57"/>
      <c r="F68" s="57" t="s">
        <v>193</v>
      </c>
      <c r="G68" s="57" t="s">
        <v>329</v>
      </c>
      <c r="H68" s="57" t="s">
        <v>123</v>
      </c>
      <c r="I68" s="57"/>
      <c r="J68" s="57"/>
      <c r="K68" s="57"/>
      <c r="L68" s="57"/>
      <c r="M68" s="57"/>
      <c r="N68" s="57"/>
      <c r="O68" s="57"/>
      <c r="P68" s="57"/>
      <c r="Q68" s="57"/>
      <c r="R68" s="57"/>
      <c r="S68" s="57"/>
      <c r="U68" s="132"/>
      <c r="V68" s="57"/>
      <c r="W68" s="57"/>
      <c r="X68" s="57"/>
      <c r="Y68" s="57"/>
      <c r="Z68" s="57"/>
      <c r="AA68" s="57"/>
      <c r="AB68" s="57"/>
      <c r="AC68" s="57"/>
      <c r="AD68" s="57"/>
      <c r="AE68" s="57"/>
      <c r="AF68" s="57"/>
      <c r="AG68" s="57"/>
      <c r="AH68" s="243" t="s">
        <v>602</v>
      </c>
      <c r="AO68" s="243" t="s">
        <v>602</v>
      </c>
    </row>
    <row r="69" spans="1:42" x14ac:dyDescent="0.25">
      <c r="A69" s="57"/>
      <c r="B69" s="57"/>
      <c r="C69" s="57"/>
      <c r="D69" s="57"/>
      <c r="E69" s="57"/>
      <c r="F69" s="241" t="s">
        <v>577</v>
      </c>
      <c r="G69" s="242" t="s">
        <v>578</v>
      </c>
      <c r="H69" s="57" t="s">
        <v>123</v>
      </c>
      <c r="K69" s="57"/>
      <c r="L69" s="57"/>
      <c r="M69" s="57"/>
      <c r="N69" s="57"/>
      <c r="O69" s="57"/>
      <c r="P69" s="57"/>
      <c r="Q69" s="57"/>
      <c r="R69" s="57"/>
      <c r="S69" s="57"/>
      <c r="U69" s="132"/>
      <c r="V69" s="57"/>
      <c r="W69" s="57"/>
      <c r="X69" s="57"/>
      <c r="Y69" s="57"/>
      <c r="Z69" s="57"/>
      <c r="AA69" s="57"/>
      <c r="AB69" s="57"/>
      <c r="AC69" s="57"/>
      <c r="AD69" s="57"/>
      <c r="AE69" s="57"/>
      <c r="AF69" s="57"/>
      <c r="AG69" s="57"/>
    </row>
    <row r="70" spans="1:42" x14ac:dyDescent="0.25">
      <c r="A70" s="57"/>
      <c r="B70" s="57"/>
      <c r="C70" s="57"/>
      <c r="D70" s="57"/>
      <c r="E70" s="57"/>
      <c r="F70" s="57" t="s">
        <v>303</v>
      </c>
      <c r="G70" s="57" t="s">
        <v>403</v>
      </c>
      <c r="H70" s="57" t="s">
        <v>120</v>
      </c>
      <c r="I70" s="127" t="s">
        <v>450</v>
      </c>
      <c r="J70" s="57"/>
      <c r="K70" s="57"/>
      <c r="L70" s="57"/>
      <c r="M70" s="57"/>
      <c r="N70" s="57"/>
      <c r="O70" s="57"/>
      <c r="P70" s="57"/>
      <c r="Q70" s="57"/>
      <c r="R70" s="57"/>
      <c r="S70" s="57"/>
      <c r="U70" s="132"/>
      <c r="V70" s="57"/>
      <c r="W70" s="57"/>
      <c r="X70" s="57"/>
      <c r="Y70" s="57"/>
      <c r="Z70" s="57"/>
      <c r="AA70" s="57"/>
      <c r="AB70" s="57"/>
      <c r="AC70" s="57"/>
      <c r="AD70" s="57"/>
      <c r="AE70" s="57"/>
      <c r="AF70" s="57"/>
      <c r="AG70" s="57"/>
      <c r="AO70" s="245">
        <v>45</v>
      </c>
      <c r="AP70" s="243" t="str">
        <f>IF(AO73="No Aplica","No Aplica","GASTOS DE OPERACIÓN COMERCIAL")</f>
        <v>GASTOS DE OPERACIÓN COMERCIAL</v>
      </c>
    </row>
    <row r="71" spans="1:42" x14ac:dyDescent="0.25">
      <c r="A71" s="57"/>
      <c r="B71" s="57"/>
      <c r="C71" s="57"/>
      <c r="D71" s="57"/>
      <c r="E71" s="57"/>
      <c r="F71" s="57" t="s">
        <v>396</v>
      </c>
      <c r="G71" s="57" t="s">
        <v>341</v>
      </c>
      <c r="H71" s="57" t="s">
        <v>97</v>
      </c>
      <c r="I71" s="57"/>
      <c r="J71" s="57"/>
      <c r="K71" s="57"/>
      <c r="L71" s="57"/>
      <c r="M71" s="57"/>
      <c r="N71" s="57"/>
      <c r="O71" s="57"/>
      <c r="P71" s="57"/>
      <c r="Q71" s="57"/>
      <c r="R71" s="57"/>
      <c r="S71" s="57"/>
      <c r="U71" s="132"/>
      <c r="V71" s="57"/>
      <c r="W71" s="57"/>
      <c r="X71" s="57"/>
      <c r="Y71" s="57"/>
      <c r="Z71" s="57"/>
      <c r="AA71" s="57"/>
      <c r="AB71" s="57"/>
      <c r="AC71" s="57"/>
      <c r="AD71" s="57"/>
      <c r="AE71" s="57"/>
      <c r="AF71" s="57"/>
      <c r="AG71" s="57"/>
      <c r="AO71" s="245">
        <v>4501</v>
      </c>
      <c r="AP71" s="243" t="str">
        <f>IF(AO75="No Aplica","No Aplica","GASTOS de comercialización y producción")</f>
        <v>GASTOS de comercialización y producción</v>
      </c>
    </row>
    <row r="72" spans="1:42" x14ac:dyDescent="0.25">
      <c r="A72" s="57"/>
      <c r="B72" s="57"/>
      <c r="C72" s="57"/>
      <c r="D72" s="57"/>
      <c r="E72" s="57"/>
      <c r="F72" s="57" t="s">
        <v>195</v>
      </c>
      <c r="G72" s="57" t="s">
        <v>329</v>
      </c>
      <c r="H72" s="57" t="s">
        <v>123</v>
      </c>
      <c r="I72" s="57"/>
      <c r="J72" s="57"/>
      <c r="K72" s="57"/>
      <c r="L72" s="57"/>
      <c r="M72" s="57"/>
      <c r="N72" s="57"/>
      <c r="O72" s="57"/>
      <c r="P72" s="57"/>
      <c r="Q72" s="57"/>
      <c r="R72" s="57"/>
      <c r="S72" s="57"/>
      <c r="T72" s="57"/>
      <c r="U72" s="132"/>
      <c r="V72" s="57"/>
      <c r="W72" s="57"/>
      <c r="X72" s="57"/>
      <c r="Y72" s="57"/>
      <c r="Z72" s="57"/>
      <c r="AA72" s="57"/>
      <c r="AB72" s="57"/>
      <c r="AC72" s="57"/>
      <c r="AD72" s="57"/>
      <c r="AE72" s="57"/>
      <c r="AF72" s="57"/>
      <c r="AG72" s="57"/>
      <c r="AO72" s="245">
        <v>450101</v>
      </c>
      <c r="AP72" t="str">
        <f>IF(AO61="No Aplica","No Aplica","Materiales y suministros")</f>
        <v>Materiales y suministros</v>
      </c>
    </row>
    <row r="73" spans="1:42" x14ac:dyDescent="0.25">
      <c r="A73" s="57"/>
      <c r="B73" s="57"/>
      <c r="C73" s="57"/>
      <c r="D73" s="57"/>
      <c r="E73" s="57"/>
      <c r="F73" s="57" t="s">
        <v>196</v>
      </c>
      <c r="G73" s="57" t="s">
        <v>452</v>
      </c>
      <c r="H73" s="57" t="s">
        <v>118</v>
      </c>
      <c r="I73" s="57"/>
      <c r="J73" s="57"/>
      <c r="K73" s="57"/>
      <c r="L73" s="57"/>
      <c r="M73" s="57"/>
      <c r="N73" s="57"/>
      <c r="O73" s="57"/>
      <c r="P73" s="57"/>
      <c r="Q73" s="57"/>
      <c r="R73" s="57"/>
      <c r="S73" s="57"/>
      <c r="T73" s="57"/>
      <c r="U73" s="132"/>
      <c r="V73" s="57"/>
      <c r="W73" s="57"/>
      <c r="X73" s="57"/>
      <c r="Y73" s="57"/>
      <c r="Z73" s="57"/>
      <c r="AA73" s="57"/>
      <c r="AB73" s="57"/>
      <c r="AC73" s="57"/>
      <c r="AD73" s="57"/>
      <c r="AE73" s="57"/>
      <c r="AF73" s="57"/>
      <c r="AG73" s="57"/>
      <c r="AH73" s="245">
        <v>16</v>
      </c>
      <c r="AI73" s="243" t="s">
        <v>609</v>
      </c>
      <c r="AO73" s="245"/>
      <c r="AP73" s="243"/>
    </row>
    <row r="74" spans="1:42" x14ac:dyDescent="0.25">
      <c r="A74" s="57"/>
      <c r="B74" s="57"/>
      <c r="C74" s="57"/>
      <c r="D74" s="57"/>
      <c r="E74" s="57"/>
      <c r="F74" s="57" t="s">
        <v>197</v>
      </c>
      <c r="G74" s="57" t="s">
        <v>341</v>
      </c>
      <c r="H74" s="57" t="s">
        <v>98</v>
      </c>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245">
        <v>17</v>
      </c>
      <c r="AI74" s="243" t="s">
        <v>612</v>
      </c>
    </row>
    <row r="75" spans="1:42" x14ac:dyDescent="0.25">
      <c r="A75" s="57"/>
      <c r="B75" s="57"/>
      <c r="C75" s="57"/>
      <c r="D75" s="57"/>
      <c r="E75" s="57"/>
      <c r="F75" s="57" t="s">
        <v>198</v>
      </c>
      <c r="G75" s="57" t="s">
        <v>394</v>
      </c>
      <c r="H75" s="57" t="s">
        <v>91</v>
      </c>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245">
        <v>18</v>
      </c>
      <c r="AI75" s="243" t="s">
        <v>610</v>
      </c>
      <c r="AO75" s="245">
        <v>48</v>
      </c>
      <c r="AP75" s="243" t="s">
        <v>608</v>
      </c>
    </row>
    <row r="76" spans="1:42" x14ac:dyDescent="0.25">
      <c r="A76" s="57"/>
      <c r="B76" s="57"/>
      <c r="C76" s="57"/>
      <c r="D76" s="57"/>
      <c r="E76" s="57"/>
      <c r="F76" s="57" t="s">
        <v>199</v>
      </c>
      <c r="G76" s="57" t="s">
        <v>394</v>
      </c>
      <c r="H76" s="57" t="s">
        <v>91</v>
      </c>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245">
        <v>19</v>
      </c>
      <c r="AI76" s="243" t="s">
        <v>513</v>
      </c>
    </row>
    <row r="77" spans="1:42" x14ac:dyDescent="0.25">
      <c r="A77" s="57"/>
      <c r="B77" s="57"/>
      <c r="C77" s="57"/>
      <c r="D77" s="57"/>
      <c r="E77" s="57"/>
      <c r="F77" s="57" t="s">
        <v>200</v>
      </c>
      <c r="G77" s="57" t="s">
        <v>394</v>
      </c>
      <c r="H77" s="57" t="s">
        <v>91</v>
      </c>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245">
        <v>20</v>
      </c>
      <c r="AI77" s="243" t="s">
        <v>317</v>
      </c>
    </row>
    <row r="78" spans="1:42" x14ac:dyDescent="0.25">
      <c r="A78" s="57"/>
      <c r="B78" s="57"/>
      <c r="C78" s="57"/>
      <c r="D78" s="57"/>
      <c r="E78" s="57"/>
      <c r="F78" s="57" t="s">
        <v>201</v>
      </c>
      <c r="G78" s="57" t="s">
        <v>394</v>
      </c>
      <c r="H78" s="57" t="s">
        <v>91</v>
      </c>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row>
    <row r="79" spans="1:42" x14ac:dyDescent="0.25">
      <c r="A79" s="57"/>
      <c r="B79" s="57"/>
      <c r="C79" s="57"/>
      <c r="D79" s="57"/>
      <c r="E79" s="57"/>
      <c r="F79" s="57" t="s">
        <v>202</v>
      </c>
      <c r="G79" s="57" t="s">
        <v>402</v>
      </c>
      <c r="H79" s="57" t="s">
        <v>91</v>
      </c>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row>
    <row r="80" spans="1:42" x14ac:dyDescent="0.25">
      <c r="A80" s="57"/>
      <c r="B80" s="57"/>
      <c r="C80" s="57"/>
      <c r="D80" s="57"/>
      <c r="E80" s="57"/>
      <c r="F80" s="57" t="s">
        <v>400</v>
      </c>
      <c r="G80" s="57" t="s">
        <v>373</v>
      </c>
      <c r="H80" s="57" t="s">
        <v>91</v>
      </c>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row>
    <row r="81" spans="1:33" x14ac:dyDescent="0.25">
      <c r="A81" s="57"/>
      <c r="B81" s="57"/>
      <c r="C81" s="57"/>
      <c r="D81" s="57"/>
      <c r="E81" s="57"/>
      <c r="F81" s="57" t="s">
        <v>397</v>
      </c>
      <c r="G81" s="57" t="s">
        <v>402</v>
      </c>
      <c r="H81" s="57" t="s">
        <v>91</v>
      </c>
      <c r="I81" s="127" t="s">
        <v>450</v>
      </c>
      <c r="J81" s="57"/>
      <c r="K81" s="57"/>
      <c r="L81" s="57"/>
      <c r="M81" s="57"/>
      <c r="N81" s="57"/>
      <c r="O81" s="57"/>
      <c r="P81" s="57"/>
      <c r="Q81" s="57"/>
      <c r="R81" s="57"/>
      <c r="S81" s="57"/>
      <c r="T81" s="57"/>
      <c r="U81" s="57"/>
      <c r="V81" s="57"/>
      <c r="W81" s="57"/>
      <c r="X81" s="57"/>
      <c r="Y81" s="57"/>
      <c r="Z81" s="57"/>
      <c r="AA81" s="57"/>
      <c r="AB81" s="57"/>
      <c r="AC81" s="57"/>
      <c r="AD81" s="57"/>
      <c r="AE81" s="57"/>
      <c r="AF81" s="57"/>
      <c r="AG81" s="57"/>
    </row>
    <row r="82" spans="1:33" x14ac:dyDescent="0.25">
      <c r="A82" s="57"/>
      <c r="B82" s="57"/>
      <c r="C82" s="57"/>
      <c r="D82" s="57"/>
      <c r="E82" s="57"/>
      <c r="F82" s="57" t="s">
        <v>304</v>
      </c>
      <c r="G82" s="175" t="s">
        <v>372</v>
      </c>
      <c r="H82" s="57" t="s">
        <v>120</v>
      </c>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row>
    <row r="83" spans="1:33" x14ac:dyDescent="0.25">
      <c r="A83" s="57"/>
      <c r="B83" s="57"/>
      <c r="C83" s="57"/>
      <c r="D83" s="57"/>
      <c r="E83" s="57"/>
      <c r="F83" s="57" t="s">
        <v>398</v>
      </c>
      <c r="G83" s="57" t="s">
        <v>341</v>
      </c>
      <c r="H83" s="57" t="s">
        <v>99</v>
      </c>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row>
    <row r="84" spans="1:33" x14ac:dyDescent="0.25">
      <c r="A84" s="57"/>
      <c r="B84" s="57"/>
      <c r="C84" s="57"/>
      <c r="D84" s="57"/>
      <c r="E84" s="57"/>
      <c r="F84" s="57" t="s">
        <v>399</v>
      </c>
      <c r="G84" s="57" t="s">
        <v>374</v>
      </c>
      <c r="H84" s="57" t="s">
        <v>115</v>
      </c>
      <c r="I84" s="127" t="s">
        <v>450</v>
      </c>
      <c r="J84" s="57"/>
      <c r="K84" s="57"/>
      <c r="L84" s="57"/>
      <c r="M84" s="57"/>
      <c r="N84" s="57"/>
      <c r="O84" s="57"/>
      <c r="P84" s="57"/>
      <c r="Q84" s="57"/>
      <c r="R84" s="57"/>
      <c r="S84" s="57"/>
      <c r="T84" s="57"/>
      <c r="U84" s="57"/>
      <c r="V84" s="57"/>
      <c r="W84" s="57"/>
      <c r="X84" s="57"/>
      <c r="Y84" s="57"/>
      <c r="Z84" s="57"/>
      <c r="AA84" s="57"/>
      <c r="AB84" s="57"/>
      <c r="AC84" s="57"/>
      <c r="AD84" s="57"/>
      <c r="AE84" s="57"/>
      <c r="AF84" s="57"/>
      <c r="AG84" s="57"/>
    </row>
    <row r="85" spans="1:33" x14ac:dyDescent="0.25">
      <c r="A85" s="57"/>
      <c r="B85" s="57"/>
      <c r="C85" s="57"/>
      <c r="D85" s="57"/>
      <c r="E85" s="57"/>
      <c r="F85" s="57" t="s">
        <v>305</v>
      </c>
      <c r="G85" s="57" t="s">
        <v>330</v>
      </c>
      <c r="H85" s="57" t="s">
        <v>116</v>
      </c>
      <c r="I85" s="127" t="s">
        <v>450</v>
      </c>
      <c r="J85" s="57"/>
      <c r="K85" s="57"/>
      <c r="L85" s="57"/>
      <c r="M85" s="57"/>
      <c r="N85" s="57"/>
      <c r="O85" s="57"/>
      <c r="P85" s="57"/>
      <c r="Q85" s="57"/>
      <c r="R85" s="57"/>
      <c r="S85" s="57"/>
      <c r="T85" s="57"/>
      <c r="U85" s="57"/>
      <c r="V85" s="57"/>
      <c r="W85" s="57"/>
      <c r="X85" s="57"/>
      <c r="Y85" s="57"/>
      <c r="Z85" s="57"/>
      <c r="AA85" s="57"/>
      <c r="AB85" s="57"/>
      <c r="AC85" s="57"/>
      <c r="AD85" s="57"/>
      <c r="AE85" s="57"/>
      <c r="AF85" s="57"/>
      <c r="AG85" s="57"/>
    </row>
    <row r="86" spans="1:33" x14ac:dyDescent="0.25">
      <c r="A86" s="57"/>
      <c r="B86" s="57"/>
      <c r="C86" s="57"/>
      <c r="D86" s="57"/>
      <c r="E86" s="57"/>
      <c r="F86" s="57" t="s">
        <v>401</v>
      </c>
      <c r="G86" s="57" t="s">
        <v>452</v>
      </c>
      <c r="H86" s="57" t="s">
        <v>117</v>
      </c>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row>
    <row r="87" spans="1:33" x14ac:dyDescent="0.25">
      <c r="A87" s="57"/>
      <c r="B87" s="57"/>
      <c r="C87" s="57"/>
      <c r="D87" s="57"/>
      <c r="E87" s="57"/>
      <c r="F87" s="57" t="s">
        <v>208</v>
      </c>
      <c r="G87" s="57" t="s">
        <v>341</v>
      </c>
      <c r="H87" s="57" t="s">
        <v>100</v>
      </c>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row>
    <row r="88" spans="1:33" x14ac:dyDescent="0.25">
      <c r="A88" s="57"/>
      <c r="B88" s="57"/>
      <c r="C88" s="57"/>
      <c r="D88" s="57"/>
      <c r="E88" s="57"/>
      <c r="F88" s="57" t="s">
        <v>209</v>
      </c>
      <c r="G88" s="57" t="s">
        <v>341</v>
      </c>
      <c r="H88" s="57" t="s">
        <v>101</v>
      </c>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row>
    <row r="89" spans="1:33" x14ac:dyDescent="0.25">
      <c r="A89" s="57"/>
      <c r="B89" s="57"/>
      <c r="C89" s="57"/>
      <c r="D89" s="57"/>
      <c r="E89" s="57"/>
      <c r="F89" s="57" t="s">
        <v>210</v>
      </c>
      <c r="G89" s="175" t="s">
        <v>372</v>
      </c>
      <c r="H89" s="57" t="s">
        <v>120</v>
      </c>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row>
    <row r="90" spans="1:33" x14ac:dyDescent="0.25">
      <c r="A90" s="57"/>
      <c r="B90" s="57"/>
      <c r="C90" s="57"/>
      <c r="D90" s="57"/>
      <c r="E90" s="57"/>
      <c r="F90" s="57" t="s">
        <v>211</v>
      </c>
      <c r="G90" s="57" t="s">
        <v>356</v>
      </c>
      <c r="H90" s="57" t="s">
        <v>120</v>
      </c>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row>
    <row r="91" spans="1:33" x14ac:dyDescent="0.25">
      <c r="A91" s="57"/>
      <c r="B91" s="57"/>
      <c r="C91" s="57"/>
      <c r="D91" s="57"/>
      <c r="E91" s="57"/>
      <c r="F91" s="57" t="s">
        <v>212</v>
      </c>
      <c r="G91" s="175" t="s">
        <v>372</v>
      </c>
      <c r="H91" s="57" t="s">
        <v>120</v>
      </c>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row>
    <row r="92" spans="1:33" x14ac:dyDescent="0.25">
      <c r="A92" s="57"/>
      <c r="B92" s="57"/>
      <c r="C92" s="57"/>
      <c r="D92" s="57"/>
      <c r="E92" s="57"/>
      <c r="F92" s="57" t="s">
        <v>213</v>
      </c>
      <c r="G92" s="57" t="s">
        <v>329</v>
      </c>
      <c r="H92" s="57" t="s">
        <v>120</v>
      </c>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row>
    <row r="93" spans="1:33" x14ac:dyDescent="0.25">
      <c r="A93" s="57"/>
      <c r="B93" s="57"/>
      <c r="C93" s="57"/>
      <c r="D93" s="57"/>
      <c r="E93" s="57"/>
      <c r="F93" s="57" t="s">
        <v>214</v>
      </c>
      <c r="G93" s="175" t="s">
        <v>372</v>
      </c>
      <c r="H93" s="57" t="s">
        <v>120</v>
      </c>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row>
    <row r="94" spans="1:33" x14ac:dyDescent="0.25">
      <c r="A94" s="57"/>
      <c r="B94" s="57"/>
      <c r="C94" s="57"/>
      <c r="D94" s="57"/>
      <c r="E94" s="57"/>
      <c r="F94" s="57" t="s">
        <v>215</v>
      </c>
      <c r="G94" s="57" t="s">
        <v>356</v>
      </c>
      <c r="H94" s="57" t="s">
        <v>120</v>
      </c>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row>
    <row r="95" spans="1:33" x14ac:dyDescent="0.25">
      <c r="A95" s="57"/>
      <c r="B95" s="57"/>
      <c r="C95" s="57"/>
      <c r="D95" s="57"/>
      <c r="E95" s="57"/>
      <c r="F95" s="57" t="s">
        <v>216</v>
      </c>
      <c r="G95" s="175" t="s">
        <v>372</v>
      </c>
      <c r="H95" s="57" t="s">
        <v>120</v>
      </c>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row>
    <row r="96" spans="1:33" x14ac:dyDescent="0.25">
      <c r="A96" s="57"/>
      <c r="B96" s="57"/>
      <c r="C96" s="57"/>
      <c r="D96" s="57"/>
      <c r="E96" s="57"/>
      <c r="F96" s="57" t="s">
        <v>217</v>
      </c>
      <c r="G96" s="57" t="s">
        <v>356</v>
      </c>
      <c r="H96" s="57" t="s">
        <v>120</v>
      </c>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row>
    <row r="97" spans="1:33" x14ac:dyDescent="0.25">
      <c r="A97" s="57"/>
      <c r="B97" s="57"/>
      <c r="C97" s="57"/>
      <c r="D97" s="57"/>
      <c r="E97" s="57"/>
      <c r="F97" s="57" t="s">
        <v>218</v>
      </c>
      <c r="G97" s="57" t="s">
        <v>356</v>
      </c>
      <c r="H97" s="57" t="s">
        <v>120</v>
      </c>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row>
    <row r="98" spans="1:33" x14ac:dyDescent="0.25">
      <c r="A98" s="57"/>
      <c r="B98" s="57"/>
      <c r="C98" s="57"/>
      <c r="D98" s="57"/>
      <c r="E98" s="57"/>
      <c r="F98" s="57" t="s">
        <v>219</v>
      </c>
      <c r="G98" s="57" t="s">
        <v>356</v>
      </c>
      <c r="H98" s="57" t="s">
        <v>120</v>
      </c>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row>
    <row r="99" spans="1:33" x14ac:dyDescent="0.25">
      <c r="A99" s="57"/>
      <c r="B99" s="57"/>
      <c r="C99" s="57"/>
      <c r="D99" s="57"/>
      <c r="E99" s="57"/>
      <c r="F99" s="57" t="s">
        <v>220</v>
      </c>
      <c r="G99" s="57" t="s">
        <v>341</v>
      </c>
      <c r="H99" s="57" t="s">
        <v>102</v>
      </c>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row>
    <row r="100" spans="1:33" x14ac:dyDescent="0.25">
      <c r="A100" s="57"/>
      <c r="B100" s="57"/>
      <c r="C100" s="57"/>
      <c r="D100" s="57"/>
      <c r="E100" s="57"/>
      <c r="F100" s="57" t="s">
        <v>221</v>
      </c>
      <c r="G100" s="57" t="s">
        <v>341</v>
      </c>
      <c r="H100" s="57" t="s">
        <v>103</v>
      </c>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row>
    <row r="101" spans="1:33" x14ac:dyDescent="0.25">
      <c r="A101" s="57"/>
      <c r="B101" s="57" t="s">
        <v>324</v>
      </c>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row>
    <row r="102" spans="1:33" x14ac:dyDescent="0.25">
      <c r="A102" s="57"/>
      <c r="B102" s="57" t="s">
        <v>76</v>
      </c>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row>
    <row r="103" spans="1:33" x14ac:dyDescent="0.25">
      <c r="A103" s="57"/>
      <c r="B103" s="57" t="s">
        <v>79</v>
      </c>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row>
    <row r="104" spans="1:33" x14ac:dyDescent="0.25">
      <c r="A104" s="57"/>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row>
  </sheetData>
  <autoFilter ref="F2:H100"/>
  <mergeCells count="5">
    <mergeCell ref="AO2:AT2"/>
    <mergeCell ref="AH2:AN2"/>
    <mergeCell ref="AC2:AD2"/>
    <mergeCell ref="AB2:AB3"/>
    <mergeCell ref="AC7:AD7"/>
  </mergeCells>
  <phoneticPr fontId="49" type="noConversion"/>
  <pageMargins left="0.7" right="0.7" top="0.75" bottom="0.75" header="0.3" footer="0.3"/>
  <pageSetup orientation="portrait" horizontalDpi="4294967295" verticalDpi="4294967295"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ANALITICA PRESUPUESTO</vt:lpstr>
      <vt:lpstr>MATERIALIDAD PRESUPUESTO</vt:lpstr>
      <vt:lpstr>INDICADORES Y HALLAZGOS </vt:lpstr>
      <vt:lpstr>Instructivo</vt:lpstr>
      <vt:lpstr>LISTAS</vt:lpstr>
      <vt:lpstr>Tabla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Hector Arsenio Ordoñez</cp:lastModifiedBy>
  <dcterms:created xsi:type="dcterms:W3CDTF">2022-11-21T18:50:27Z</dcterms:created>
  <dcterms:modified xsi:type="dcterms:W3CDTF">2023-05-15T18:41:24Z</dcterms:modified>
</cp:coreProperties>
</file>